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45" windowWidth="9915" windowHeight="5640" activeTab="1"/>
  </bookViews>
  <sheets>
    <sheet name="Tabla 28.3" sheetId="1" r:id="rId1"/>
    <sheet name="Beta completa" sheetId="2" r:id="rId2"/>
  </sheets>
  <definedNames>
    <definedName name="_xlnm.Print_Area" localSheetId="1">'Beta completa'!$A$1:$P$702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<sst xmlns="http://schemas.openxmlformats.org/spreadsheetml/2006/main" count="597" uniqueCount="321">
  <si>
    <t>fórmula</t>
  </si>
  <si>
    <t>Ku</t>
  </si>
  <si>
    <t>Ke</t>
  </si>
  <si>
    <t>E+D = VA(WACC;FCF)</t>
  </si>
  <si>
    <t>WACC</t>
  </si>
  <si>
    <t xml:space="preserve">[1] - D = E </t>
  </si>
  <si>
    <t>E  = VA(Ke;CFac)</t>
  </si>
  <si>
    <t>D = VA(CFd;Kd)</t>
  </si>
  <si>
    <r>
      <t>D+E = VA(WACC</t>
    </r>
    <r>
      <rPr>
        <vertAlign val="subscript"/>
        <sz val="9"/>
        <rFont val="Tms Rmn"/>
        <family val="0"/>
      </rPr>
      <t>BT</t>
    </r>
    <r>
      <rPr>
        <sz val="9"/>
        <rFont val="Tms Rmn"/>
        <family val="0"/>
      </rPr>
      <t>;CCF)</t>
    </r>
  </si>
  <si>
    <r>
      <t>WACC</t>
    </r>
    <r>
      <rPr>
        <vertAlign val="subscript"/>
        <sz val="9"/>
        <rFont val="Tms Rmn"/>
        <family val="0"/>
      </rPr>
      <t>BT</t>
    </r>
  </si>
  <si>
    <t xml:space="preserve">[6] - D = E </t>
  </si>
  <si>
    <t>Vu = VA(Ku;FCF)</t>
  </si>
  <si>
    <t>DVTS + Vu</t>
  </si>
  <si>
    <t>[9] - D = E</t>
  </si>
  <si>
    <t>D+E=VA(Ku;FCF\\Ku)</t>
  </si>
  <si>
    <t>FCF\\Ku</t>
  </si>
  <si>
    <t xml:space="preserve">[11] - D = E </t>
  </si>
  <si>
    <t>E = VA(Ku;CFac\\Ku)</t>
  </si>
  <si>
    <t>CFac\\Ku</t>
  </si>
  <si>
    <t>BE</t>
  </si>
  <si>
    <t>VA(Ke;BE)</t>
  </si>
  <si>
    <t>VA(Ke;BE) + Evc = E</t>
  </si>
  <si>
    <t>EVA</t>
  </si>
  <si>
    <t>VA(WACC;EVA)</t>
  </si>
  <si>
    <t>E=VA(WACC;EVA)+Evc+N-D</t>
  </si>
  <si>
    <t>EVA-CVA</t>
  </si>
  <si>
    <t>T</t>
  </si>
  <si>
    <t>AF para fórmula</t>
  </si>
  <si>
    <t>AE (amortización económica)</t>
  </si>
  <si>
    <t>AE acum</t>
  </si>
  <si>
    <t>CVA  (-∆NOF)</t>
  </si>
  <si>
    <t>1/(1+wacc)</t>
  </si>
  <si>
    <t>VANo  CVA t</t>
  </si>
  <si>
    <t>VAN(WACC;CVA)</t>
  </si>
  <si>
    <t>Beta U</t>
  </si>
  <si>
    <t xml:space="preserve">T = </t>
  </si>
  <si>
    <t>Balance y cuenta de resultados</t>
  </si>
  <si>
    <t>Rf</t>
  </si>
  <si>
    <t>E(Rm - Rf)</t>
  </si>
  <si>
    <t>Crecimiento activo fijo neto tras año 9</t>
  </si>
  <si>
    <t>D =</t>
  </si>
  <si>
    <t xml:space="preserve">CRECIMIENTO = </t>
  </si>
  <si>
    <t>imp =</t>
  </si>
  <si>
    <t>r</t>
  </si>
  <si>
    <t>Kd</t>
  </si>
  <si>
    <t>G=</t>
  </si>
  <si>
    <t>NOF</t>
  </si>
  <si>
    <t>Cuentas a cobrar</t>
  </si>
  <si>
    <t>Stocks</t>
  </si>
  <si>
    <t>Otros activos circulantes</t>
  </si>
  <si>
    <t>Activo fijo bruto</t>
  </si>
  <si>
    <t xml:space="preserve"> - amort acumulada</t>
  </si>
  <si>
    <t>Activo fijo neto</t>
  </si>
  <si>
    <t>Otros activos</t>
  </si>
  <si>
    <t>TOTAL ACTIVO</t>
  </si>
  <si>
    <t>Cuentas a pagar</t>
  </si>
  <si>
    <t>Otros pasivos</t>
  </si>
  <si>
    <t>Deuda (N)</t>
  </si>
  <si>
    <t>Capital (valor contable)</t>
  </si>
  <si>
    <t>TOTAL PASIVO</t>
  </si>
  <si>
    <t>Cuenta de resultados</t>
  </si>
  <si>
    <t>Cambio ventas</t>
  </si>
  <si>
    <t>Ventas</t>
  </si>
  <si>
    <t>Coste de ventas-proveed</t>
  </si>
  <si>
    <t>Coste de ventas-otros</t>
  </si>
  <si>
    <t>Gastos generales</t>
  </si>
  <si>
    <t>Amortización</t>
  </si>
  <si>
    <t>Margen</t>
  </si>
  <si>
    <t>Intereses</t>
  </si>
  <si>
    <t>Resultado extraordinario</t>
  </si>
  <si>
    <t>BAT</t>
  </si>
  <si>
    <t>Impuestos</t>
  </si>
  <si>
    <r>
      <t>BDT</t>
    </r>
    <r>
      <rPr>
        <sz val="9"/>
        <rFont val="Tms Rmn"/>
        <family val="0"/>
      </rPr>
      <t xml:space="preserve"> (beneficio neto)</t>
    </r>
  </si>
  <si>
    <t>Flujos</t>
  </si>
  <si>
    <t xml:space="preserve"> + Amortización</t>
  </si>
  <si>
    <t xml:space="preserve"> + ∆ Deuda</t>
  </si>
  <si>
    <t xml:space="preserve"> - ∆ NOF</t>
  </si>
  <si>
    <t xml:space="preserve"> - Inversiones</t>
  </si>
  <si>
    <t>AF</t>
  </si>
  <si>
    <t>Otros Activos</t>
  </si>
  <si>
    <t xml:space="preserve"> - Otros ajustes</t>
  </si>
  <si>
    <t>CF acciones = Dividendos</t>
  </si>
  <si>
    <t>FCF</t>
  </si>
  <si>
    <t>CFd</t>
  </si>
  <si>
    <t>CCF</t>
  </si>
  <si>
    <t>Cash flow contable (bfo + amort)</t>
  </si>
  <si>
    <t>Crecimientos y ratios</t>
  </si>
  <si>
    <t>Crecimientos previstos:</t>
  </si>
  <si>
    <t>g NOF</t>
  </si>
  <si>
    <t>g CF acciones</t>
  </si>
  <si>
    <t>g FCF</t>
  </si>
  <si>
    <t>g beneficio</t>
  </si>
  <si>
    <t>g inversiones</t>
  </si>
  <si>
    <t>g ventas</t>
  </si>
  <si>
    <t>g amortización</t>
  </si>
  <si>
    <t>g activo fijo neto</t>
  </si>
  <si>
    <t>g (activo fijo neto+NOF)</t>
  </si>
  <si>
    <t>g activo</t>
  </si>
  <si>
    <t>g compuesto CFac (15 años)</t>
  </si>
  <si>
    <t>g compuesto CFac (5 años)</t>
  </si>
  <si>
    <t>Ratios</t>
  </si>
  <si>
    <t>Plazo de cobro (días)</t>
  </si>
  <si>
    <t>Compras</t>
  </si>
  <si>
    <t>Plazo de pago (días)</t>
  </si>
  <si>
    <t>Días de Stock</t>
  </si>
  <si>
    <t>Bfo/ventas</t>
  </si>
  <si>
    <t>NOPAT/ventas</t>
  </si>
  <si>
    <t>EBITDA/ventas</t>
  </si>
  <si>
    <t>Coste de ventas/ventas</t>
  </si>
  <si>
    <t>Gastos generales/ventas</t>
  </si>
  <si>
    <t>impuestos / FCF</t>
  </si>
  <si>
    <t>impuestos / CFacciones</t>
  </si>
  <si>
    <t>ROE</t>
  </si>
  <si>
    <t>ROA</t>
  </si>
  <si>
    <t>D / (D+C) contable</t>
  </si>
  <si>
    <t>Cobertura de intereses</t>
  </si>
  <si>
    <t>Ventas/Activo</t>
  </si>
  <si>
    <t>Ventas / (D+C) contable</t>
  </si>
  <si>
    <t>inversiones / activo fijo neto</t>
  </si>
  <si>
    <t>inversiones / ventas</t>
  </si>
  <si>
    <t>amortización / activo fijo neto</t>
  </si>
  <si>
    <t>Valoración. BETA COMPLETA</t>
  </si>
  <si>
    <t>WACC = (EKe+DKd-NrT)/(E+D)</t>
  </si>
  <si>
    <r>
      <t>WACC</t>
    </r>
    <r>
      <rPr>
        <vertAlign val="subscript"/>
        <sz val="9"/>
        <rFont val="Tms Rmn"/>
        <family val="0"/>
      </rPr>
      <t>BT</t>
    </r>
    <r>
      <rPr>
        <sz val="9"/>
        <rFont val="Tms Rmn"/>
        <family val="0"/>
      </rPr>
      <t xml:space="preserve"> = (EKe+DKd)/(E+D)</t>
    </r>
  </si>
  <si>
    <t>BETAu</t>
  </si>
  <si>
    <t>Rm - Rf</t>
  </si>
  <si>
    <t>1  /  [(1+Ku1)x(1+Ku2)..]</t>
  </si>
  <si>
    <t>VANo  FCF t</t>
  </si>
  <si>
    <t>Vu = VAN (Ku;FCF)</t>
  </si>
  <si>
    <t>Crecimiento de Vu</t>
  </si>
  <si>
    <t>N</t>
  </si>
  <si>
    <t>1  /  [(1+Kd1)x(1+Kd2)..]</t>
  </si>
  <si>
    <t>VANo  CFd t</t>
  </si>
  <si>
    <t>D = VAN(CFd;Kd)</t>
  </si>
  <si>
    <t>Beta d</t>
  </si>
  <si>
    <t>D T Ku + T (Nr - DKd)</t>
  </si>
  <si>
    <t>VANo  D T Ku t</t>
  </si>
  <si>
    <t>VAN(Ku;D T Ku) = DVTS</t>
  </si>
  <si>
    <t xml:space="preserve"> - D =</t>
  </si>
  <si>
    <t>E 1</t>
  </si>
  <si>
    <t>Crecimiento de E</t>
  </si>
  <si>
    <t>(completa)</t>
  </si>
  <si>
    <t>BETAe</t>
  </si>
  <si>
    <t>1  /  [(1+Ke1)x(1+Ke2)..]</t>
  </si>
  <si>
    <t>VANo  CFacc t</t>
  </si>
  <si>
    <t>E 2 = VAN(Ke;CFacc)</t>
  </si>
  <si>
    <t>Et = Et-1 * (1+Ke) - CFacc</t>
  </si>
  <si>
    <t>1  /  [(1+wacc1)x(1+wacc2)..]</t>
  </si>
  <si>
    <t>D + E =</t>
  </si>
  <si>
    <t>VAN(WACC;FCF)</t>
  </si>
  <si>
    <t>E 3</t>
  </si>
  <si>
    <t>(D+E)t = (D+E)t-1*(1+WACC)-FCF</t>
  </si>
  <si>
    <r>
      <t>WACC</t>
    </r>
    <r>
      <rPr>
        <b/>
        <vertAlign val="subscript"/>
        <sz val="9"/>
        <rFont val="Tms Rmn"/>
        <family val="0"/>
      </rPr>
      <t>BT</t>
    </r>
  </si>
  <si>
    <r>
      <t>1  /  [(1+WACC</t>
    </r>
    <r>
      <rPr>
        <vertAlign val="subscript"/>
        <sz val="9"/>
        <rFont val="Tms Rmn"/>
        <family val="0"/>
      </rPr>
      <t>BT</t>
    </r>
    <r>
      <rPr>
        <sz val="9"/>
        <rFont val="Tms Rmn"/>
        <family val="0"/>
      </rPr>
      <t>1)x(1+WACC</t>
    </r>
    <r>
      <rPr>
        <vertAlign val="subscript"/>
        <sz val="9"/>
        <rFont val="Tms Rmn"/>
        <family val="0"/>
      </rPr>
      <t>BT</t>
    </r>
    <r>
      <rPr>
        <sz val="9"/>
        <rFont val="Tms Rmn"/>
        <family val="0"/>
      </rPr>
      <t>2)..]</t>
    </r>
  </si>
  <si>
    <t>VANo  CCF t</t>
  </si>
  <si>
    <r>
      <t>VAN(WACC</t>
    </r>
    <r>
      <rPr>
        <vertAlign val="subscript"/>
        <sz val="9"/>
        <rFont val="Tms Rmn"/>
        <family val="0"/>
      </rPr>
      <t>BT</t>
    </r>
    <r>
      <rPr>
        <sz val="9"/>
        <rFont val="Tms Rmn"/>
        <family val="0"/>
      </rPr>
      <t>;CCF)</t>
    </r>
  </si>
  <si>
    <t>E 4</t>
  </si>
  <si>
    <t>BE (Beneficio económico)</t>
  </si>
  <si>
    <t>VANo  BE t</t>
  </si>
  <si>
    <t>VAN(Ke;BE)</t>
  </si>
  <si>
    <t xml:space="preserve"> +Evc=</t>
  </si>
  <si>
    <t>E5</t>
  </si>
  <si>
    <t>VANo  EVA t</t>
  </si>
  <si>
    <t>VAN(WACC;EVA)</t>
  </si>
  <si>
    <r>
      <t xml:space="preserve"> +Evc -(D-N)=  </t>
    </r>
    <r>
      <rPr>
        <b/>
        <sz val="9"/>
        <rFont val="Tms Rmn"/>
        <family val="0"/>
      </rPr>
      <t xml:space="preserve"> E6</t>
    </r>
  </si>
  <si>
    <t>Mod-Miller</t>
  </si>
  <si>
    <t>E7 = VAN(Ku;CFac\\Ku)</t>
  </si>
  <si>
    <t>D + E''' =</t>
  </si>
  <si>
    <t>VAN(Ku;FCF\\Ku)</t>
  </si>
  <si>
    <t>E 8</t>
  </si>
  <si>
    <t>**</t>
  </si>
  <si>
    <t>Evc0 + Do</t>
  </si>
  <si>
    <t>CVA  (-∆NOF-∆AFN)</t>
  </si>
  <si>
    <t>eva</t>
  </si>
  <si>
    <r>
      <t xml:space="preserve"> +Evc -(D-N)=  </t>
    </r>
    <r>
      <rPr>
        <b/>
        <sz val="9"/>
        <rFont val="Tms Rmn"/>
        <family val="0"/>
      </rPr>
      <t xml:space="preserve"> E9</t>
    </r>
  </si>
  <si>
    <t>43.41</t>
  </si>
  <si>
    <t>Valoración. BETA'</t>
  </si>
  <si>
    <t>Costes del apalancamiento'</t>
  </si>
  <si>
    <t>Vu+DVTS-costes apalanc'</t>
  </si>
  <si>
    <t>E' 1</t>
  </si>
  <si>
    <t>ß'</t>
  </si>
  <si>
    <t>Ke'</t>
  </si>
  <si>
    <t>E' 2 = VAN(Ke';CFacc)</t>
  </si>
  <si>
    <t>E't = E't-1 * (1+Ke') - CFacc</t>
  </si>
  <si>
    <t>WACC'</t>
  </si>
  <si>
    <t>D + E' =</t>
  </si>
  <si>
    <t>VAN(WACC';FCF)</t>
  </si>
  <si>
    <t>E' 3</t>
  </si>
  <si>
    <r>
      <t>WACC'</t>
    </r>
    <r>
      <rPr>
        <b/>
        <vertAlign val="subscript"/>
        <sz val="9"/>
        <rFont val="Tms Rmn"/>
        <family val="0"/>
      </rPr>
      <t>BT</t>
    </r>
  </si>
  <si>
    <r>
      <t>VAN(WACC'</t>
    </r>
    <r>
      <rPr>
        <vertAlign val="subscript"/>
        <sz val="9"/>
        <rFont val="Tms Rmn"/>
        <family val="0"/>
      </rPr>
      <t>BT</t>
    </r>
    <r>
      <rPr>
        <sz val="9"/>
        <rFont val="Tms Rmn"/>
        <family val="0"/>
      </rPr>
      <t>;CCF)</t>
    </r>
  </si>
  <si>
    <t>E' 4</t>
  </si>
  <si>
    <t>WACC'vc</t>
  </si>
  <si>
    <t>BE' (Beneficio económico)</t>
  </si>
  <si>
    <t>EVA'</t>
  </si>
  <si>
    <t>EVA'vc = BE'</t>
  </si>
  <si>
    <t>VAN(Ke';BE')</t>
  </si>
  <si>
    <t>E'5</t>
  </si>
  <si>
    <t>VAN(WACC';EVA')</t>
  </si>
  <si>
    <r>
      <t xml:space="preserve"> +Evc -(D-N)=  </t>
    </r>
    <r>
      <rPr>
        <b/>
        <sz val="9"/>
        <rFont val="Tms Rmn"/>
        <family val="0"/>
      </rPr>
      <t xml:space="preserve"> E'6</t>
    </r>
  </si>
  <si>
    <t>Valoración. BETA*</t>
  </si>
  <si>
    <t>Costes del apalancamiento*</t>
  </si>
  <si>
    <t>Vu+DVTS-costes apalanc*</t>
  </si>
  <si>
    <t>E* 1</t>
  </si>
  <si>
    <t>ß*</t>
  </si>
  <si>
    <t>Ke*</t>
  </si>
  <si>
    <t>E* 2 = VAN(Ke*;CFacc)</t>
  </si>
  <si>
    <t>E*t = E*t-1 * (1+Ke*) - CFacc</t>
  </si>
  <si>
    <t>WACC*</t>
  </si>
  <si>
    <t>D + E* =</t>
  </si>
  <si>
    <t>VAN(WACC*;FCF)</t>
  </si>
  <si>
    <t>E* 3</t>
  </si>
  <si>
    <r>
      <t>WACC*</t>
    </r>
    <r>
      <rPr>
        <b/>
        <vertAlign val="subscript"/>
        <sz val="9"/>
        <rFont val="Tms Rmn"/>
        <family val="0"/>
      </rPr>
      <t>BT</t>
    </r>
  </si>
  <si>
    <r>
      <t>VAN(WACC*</t>
    </r>
    <r>
      <rPr>
        <vertAlign val="subscript"/>
        <sz val="9"/>
        <rFont val="Tms Rmn"/>
        <family val="0"/>
      </rPr>
      <t>BT</t>
    </r>
    <r>
      <rPr>
        <sz val="9"/>
        <rFont val="Tms Rmn"/>
        <family val="0"/>
      </rPr>
      <t>;CCF)</t>
    </r>
  </si>
  <si>
    <t>E* 4</t>
  </si>
  <si>
    <t>WACC*vc</t>
  </si>
  <si>
    <t>BE* (Beneficio económico)</t>
  </si>
  <si>
    <t>EVA*</t>
  </si>
  <si>
    <t>EVA*vc = BE*</t>
  </si>
  <si>
    <t>VAN(Ke*;BE*)</t>
  </si>
  <si>
    <t>E*5</t>
  </si>
  <si>
    <t>VAN(WACC*;EVA*)</t>
  </si>
  <si>
    <r>
      <t xml:space="preserve"> +Evc -(D-N)=  </t>
    </r>
    <r>
      <rPr>
        <b/>
        <sz val="9"/>
        <rFont val="Tms Rmn"/>
        <family val="0"/>
      </rPr>
      <t xml:space="preserve"> E*6</t>
    </r>
  </si>
  <si>
    <t>Valoración. BETA''</t>
  </si>
  <si>
    <t>Costes del apalancamiento''</t>
  </si>
  <si>
    <t>Vu+DVTS-costes apalanc''</t>
  </si>
  <si>
    <t>E'' 1</t>
  </si>
  <si>
    <t>ß''</t>
  </si>
  <si>
    <t>Ke''</t>
  </si>
  <si>
    <t>E'' 2 = VAN(Ke'';CFacc)</t>
  </si>
  <si>
    <t>E''t = E''t-1 * (1+Ke'') - CFacc</t>
  </si>
  <si>
    <t>WACC''</t>
  </si>
  <si>
    <t>D + E'' =</t>
  </si>
  <si>
    <t>VAN(WACC'';FCF)</t>
  </si>
  <si>
    <t>E'' 3</t>
  </si>
  <si>
    <t>WACC''BT</t>
  </si>
  <si>
    <t>VAN(WACC''BT;CCF)</t>
  </si>
  <si>
    <t>E'' 4</t>
  </si>
  <si>
    <t>WACC''vc</t>
  </si>
  <si>
    <t>BE'' (Beneficio económico)</t>
  </si>
  <si>
    <t>EVA''</t>
  </si>
  <si>
    <t>EVA''vc = BE''</t>
  </si>
  <si>
    <t>VAN(Ke'';BE'')</t>
  </si>
  <si>
    <t>E''5</t>
  </si>
  <si>
    <t>VAN(WACC'';EVA'')</t>
  </si>
  <si>
    <t xml:space="preserve"> +Evc -(D-N)=   E''6</t>
  </si>
  <si>
    <t>Acciones (E'')</t>
  </si>
  <si>
    <t>E'' + D</t>
  </si>
  <si>
    <t>Valoración. BETA''' (Myers)</t>
  </si>
  <si>
    <t>NrT</t>
  </si>
  <si>
    <t>DVTS</t>
  </si>
  <si>
    <t>VAN(Kd;N r T) = DVTSm</t>
  </si>
  <si>
    <t>Costes del apalancamiento'''</t>
  </si>
  <si>
    <t>Vu+DVTSm-costes apalanc'''</t>
  </si>
  <si>
    <t>E''' 1</t>
  </si>
  <si>
    <t>ß'''</t>
  </si>
  <si>
    <t>Ke'''</t>
  </si>
  <si>
    <t>E''' 2 = VAN(Ke''';CFacc)</t>
  </si>
  <si>
    <t>E'''t = E'''t-1 * (1+Ke''') - CFacc</t>
  </si>
  <si>
    <t>WACC'''</t>
  </si>
  <si>
    <t>VAN(WACC''';FCF)</t>
  </si>
  <si>
    <t>E''' 3</t>
  </si>
  <si>
    <t>WACC'''BT</t>
  </si>
  <si>
    <t>VAN(WACC'''BT;CCF)</t>
  </si>
  <si>
    <t>E''' 4</t>
  </si>
  <si>
    <t>WACC'''vc</t>
  </si>
  <si>
    <t>BE''' (Beneficio económico)</t>
  </si>
  <si>
    <t>EVA'''</t>
  </si>
  <si>
    <t>EVA'''vc = BE'''</t>
  </si>
  <si>
    <t>VAN(Ke''';BE''')</t>
  </si>
  <si>
    <t>E'''5</t>
  </si>
  <si>
    <t>VAN(WACC''';EVA''')</t>
  </si>
  <si>
    <r>
      <t xml:space="preserve"> +Evc -(D-N)=  </t>
    </r>
    <r>
      <rPr>
        <b/>
        <sz val="9"/>
        <rFont val="Tms Rmn"/>
        <family val="0"/>
      </rPr>
      <t xml:space="preserve"> E'''6</t>
    </r>
  </si>
  <si>
    <t>Acciones (E''')</t>
  </si>
  <si>
    <t>E''' + D</t>
  </si>
  <si>
    <t>DIFERENCIAS ENTRE BETA, BETA', BETA*, BETA'' y BETA'''</t>
  </si>
  <si>
    <t>D+E = Vu +</t>
  </si>
  <si>
    <t>Valor en t = 0</t>
  </si>
  <si>
    <t>D</t>
  </si>
  <si>
    <t>E</t>
  </si>
  <si>
    <t>Vu</t>
  </si>
  <si>
    <t>CA</t>
  </si>
  <si>
    <t>DVTS-CA</t>
  </si>
  <si>
    <t>ß</t>
  </si>
  <si>
    <t>Valor contable</t>
  </si>
  <si>
    <t>Vu + DVTS</t>
  </si>
  <si>
    <t>E'</t>
  </si>
  <si>
    <t>E*</t>
  </si>
  <si>
    <t>E''</t>
  </si>
  <si>
    <t>E'''</t>
  </si>
  <si>
    <t>DVTS-CA'</t>
  </si>
  <si>
    <t>DVTS-CA*</t>
  </si>
  <si>
    <t>DVTS-CA''</t>
  </si>
  <si>
    <t>DVTSm'''</t>
  </si>
  <si>
    <t>(E-E')/E</t>
  </si>
  <si>
    <t>(E-E*)/E</t>
  </si>
  <si>
    <t>(E-E'')/E</t>
  </si>
  <si>
    <t>(E-E''')/E</t>
  </si>
  <si>
    <t>[28.1]</t>
  </si>
  <si>
    <t>[28.2]</t>
  </si>
  <si>
    <t>[28.3]</t>
  </si>
  <si>
    <t>[28.4]</t>
  </si>
  <si>
    <t>[28.6]</t>
  </si>
  <si>
    <t>[28.7]</t>
  </si>
  <si>
    <t>[28.10]</t>
  </si>
  <si>
    <t>[28.9]</t>
  </si>
  <si>
    <t>[28.11]</t>
  </si>
  <si>
    <t>[28.12]</t>
  </si>
  <si>
    <t>[28.13]</t>
  </si>
  <si>
    <t>[28.14]</t>
  </si>
  <si>
    <t>[28.16]</t>
  </si>
  <si>
    <t>[28.15]</t>
  </si>
  <si>
    <t>[28.18]</t>
  </si>
  <si>
    <t>[28.17]</t>
  </si>
  <si>
    <t>VTS = VA(Ku;D T Ku)</t>
  </si>
  <si>
    <t>Valoración. M&amp;M</t>
  </si>
  <si>
    <t>N T RF</t>
  </si>
  <si>
    <t>VAN(RF;D T RF) = VTS</t>
  </si>
  <si>
    <t>1  /  [(1+Rf1)x(1+Rf2)..]</t>
  </si>
  <si>
    <t>VANo  N T Rf t</t>
  </si>
  <si>
    <t>VTS + Vu</t>
  </si>
  <si>
    <t>VTS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</si>
</sst>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d/m/yy\ h:mm"/>
    <numFmt numFmtId="181" formatCode="0.000000"/>
    <numFmt numFmtId="182" formatCode="0.0000%"/>
    <numFmt numFmtId="183" formatCode="0.0000"/>
    <numFmt numFmtId="184" formatCode="0.0000000"/>
    <numFmt numFmtId="185" formatCode="0.000%"/>
    <numFmt numFmtId="186" formatCode="#,##0.0"/>
    <numFmt numFmtId="187" formatCode="0.0%"/>
    <numFmt numFmtId="188" formatCode="#,##0.0&quot;Pts&quot;;[Red]\-#,##0.0&quot;Pts&quot;"/>
    <numFmt numFmtId="189" formatCode="0.000"/>
    <numFmt numFmtId="190" formatCode="#,##0.000"/>
    <numFmt numFmtId="191" formatCode="#,##0.0000"/>
    <numFmt numFmtId="192" formatCode="0.0"/>
  </numFmts>
  <fonts count="56">
    <font>
      <sz val="9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i/>
      <sz val="9"/>
      <name val="Tms Rmn"/>
      <family val="0"/>
    </font>
    <font>
      <i/>
      <sz val="9"/>
      <name val="Tms Rmn"/>
      <family val="0"/>
    </font>
    <font>
      <b/>
      <sz val="9"/>
      <name val="Tms Rmn"/>
      <family val="0"/>
    </font>
    <font>
      <b/>
      <sz val="10"/>
      <name val="Tms Rmn"/>
      <family val="0"/>
    </font>
    <font>
      <b/>
      <vertAlign val="subscript"/>
      <sz val="9"/>
      <name val="Tms Rmn"/>
      <family val="0"/>
    </font>
    <font>
      <vertAlign val="subscript"/>
      <sz val="9"/>
      <name val="Tms Rmn"/>
      <family val="0"/>
    </font>
    <font>
      <b/>
      <i/>
      <u val="single"/>
      <sz val="9"/>
      <name val="Tms Rmn"/>
      <family val="0"/>
    </font>
    <font>
      <b/>
      <u val="single"/>
      <sz val="9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9"/>
      <color indexed="12"/>
      <name val="Tms Rmn"/>
      <family val="0"/>
    </font>
    <font>
      <u val="single"/>
      <sz val="9"/>
      <color indexed="36"/>
      <name val="Tms Rm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Tms Rmn"/>
      <family val="0"/>
    </font>
    <font>
      <sz val="8.25"/>
      <color indexed="8"/>
      <name val="Tms Rmn"/>
      <family val="0"/>
    </font>
    <font>
      <sz val="10"/>
      <color indexed="8"/>
      <name val="Tms Rmn"/>
      <family val="0"/>
    </font>
    <font>
      <b/>
      <sz val="12"/>
      <color indexed="8"/>
      <name val="Tms Rmn"/>
      <family val="0"/>
    </font>
    <font>
      <sz val="9.2"/>
      <color indexed="8"/>
      <name val="Tms Rm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2" fontId="0" fillId="0" borderId="11" xfId="0" applyNumberFormat="1" applyBorder="1" applyAlignment="1">
      <alignment/>
    </xf>
    <xf numFmtId="10" fontId="5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10" fontId="7" fillId="0" borderId="0" xfId="0" applyNumberFormat="1" applyFont="1" applyAlignment="1">
      <alignment horizontal="left"/>
    </xf>
    <xf numFmtId="10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0" fontId="6" fillId="0" borderId="11" xfId="0" applyNumberFormat="1" applyFont="1" applyBorder="1" applyAlignment="1">
      <alignment/>
    </xf>
    <xf numFmtId="10" fontId="5" fillId="0" borderId="0" xfId="0" applyNumberFormat="1" applyFont="1" applyAlignment="1">
      <alignment horizontal="left"/>
    </xf>
    <xf numFmtId="10" fontId="5" fillId="0" borderId="12" xfId="0" applyNumberFormat="1" applyFont="1" applyBorder="1" applyAlignment="1">
      <alignment horizontal="left"/>
    </xf>
    <xf numFmtId="1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0" fillId="0" borderId="13" xfId="0" applyNumberFormat="1" applyFont="1" applyBorder="1" applyAlignment="1">
      <alignment/>
    </xf>
    <xf numFmtId="4" fontId="5" fillId="0" borderId="0" xfId="0" applyNumberFormat="1" applyFont="1" applyAlignment="1">
      <alignment horizontal="right"/>
    </xf>
    <xf numFmtId="3" fontId="0" fillId="0" borderId="13" xfId="0" applyNumberFormat="1" applyBorder="1" applyAlignment="1">
      <alignment/>
    </xf>
    <xf numFmtId="2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2" fontId="0" fillId="0" borderId="13" xfId="0" applyNumberFormat="1" applyFont="1" applyBorder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2" fontId="5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3" fontId="7" fillId="0" borderId="14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4" fontId="0" fillId="0" borderId="11" xfId="0" applyNumberFormat="1" applyFont="1" applyBorder="1" applyAlignment="1">
      <alignment/>
    </xf>
    <xf numFmtId="9" fontId="6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10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0" xfId="0" applyNumberFormat="1" applyAlignment="1">
      <alignment horizontal="right"/>
    </xf>
    <xf numFmtId="3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2" fontId="6" fillId="0" borderId="0" xfId="0" applyNumberFormat="1" applyFont="1" applyAlignment="1">
      <alignment/>
    </xf>
    <xf numFmtId="10" fontId="5" fillId="0" borderId="0" xfId="0" applyNumberFormat="1" applyFont="1" applyAlignment="1">
      <alignment horizontal="right"/>
    </xf>
    <xf numFmtId="183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2" fontId="0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7" fillId="0" borderId="13" xfId="0" applyFont="1" applyBorder="1" applyAlignment="1">
      <alignment horizontal="center"/>
    </xf>
    <xf numFmtId="184" fontId="0" fillId="0" borderId="0" xfId="0" applyNumberFormat="1" applyFont="1" applyAlignment="1">
      <alignment/>
    </xf>
    <xf numFmtId="0" fontId="7" fillId="0" borderId="13" xfId="0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185" fontId="7" fillId="0" borderId="0" xfId="0" applyNumberFormat="1" applyFont="1" applyAlignment="1">
      <alignment/>
    </xf>
    <xf numFmtId="10" fontId="7" fillId="0" borderId="11" xfId="0" applyNumberFormat="1" applyFont="1" applyBorder="1" applyAlignment="1">
      <alignment/>
    </xf>
    <xf numFmtId="10" fontId="7" fillId="0" borderId="0" xfId="0" applyNumberFormat="1" applyFont="1" applyAlignment="1">
      <alignment/>
    </xf>
    <xf numFmtId="4" fontId="7" fillId="0" borderId="13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10" fontId="0" fillId="0" borderId="11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3" xfId="0" applyNumberFormat="1" applyFont="1" applyBorder="1" applyAlignment="1">
      <alignment/>
    </xf>
    <xf numFmtId="10" fontId="6" fillId="0" borderId="1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2" fontId="7" fillId="0" borderId="13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0" fontId="7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7" fillId="0" borderId="15" xfId="0" applyFont="1" applyBorder="1" applyAlignment="1">
      <alignment horizontal="right"/>
    </xf>
    <xf numFmtId="10" fontId="6" fillId="0" borderId="15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91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191" fontId="5" fillId="0" borderId="0" xfId="0" applyNumberFormat="1" applyFont="1" applyAlignment="1">
      <alignment horizontal="right"/>
    </xf>
    <xf numFmtId="3" fontId="5" fillId="0" borderId="16" xfId="0" applyNumberFormat="1" applyFont="1" applyBorder="1" applyAlignment="1">
      <alignment/>
    </xf>
    <xf numFmtId="0" fontId="7" fillId="0" borderId="15" xfId="0" applyFont="1" applyBorder="1" applyAlignment="1">
      <alignment/>
    </xf>
    <xf numFmtId="9" fontId="7" fillId="0" borderId="15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/>
    </xf>
    <xf numFmtId="186" fontId="7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10" fontId="5" fillId="0" borderId="17" xfId="0" applyNumberFormat="1" applyFont="1" applyBorder="1" applyAlignment="1">
      <alignment/>
    </xf>
    <xf numFmtId="10" fontId="5" fillId="0" borderId="18" xfId="0" applyNumberFormat="1" applyFont="1" applyBorder="1" applyAlignment="1">
      <alignment/>
    </xf>
    <xf numFmtId="183" fontId="0" fillId="0" borderId="13" xfId="0" applyNumberFormat="1" applyFont="1" applyBorder="1" applyAlignment="1">
      <alignment/>
    </xf>
    <xf numFmtId="183" fontId="0" fillId="0" borderId="13" xfId="0" applyNumberFormat="1" applyBorder="1" applyAlignment="1">
      <alignment/>
    </xf>
    <xf numFmtId="183" fontId="0" fillId="0" borderId="14" xfId="0" applyNumberFormat="1" applyBorder="1" applyAlignment="1">
      <alignment/>
    </xf>
    <xf numFmtId="181" fontId="0" fillId="0" borderId="13" xfId="0" applyNumberForma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3" xfId="0" applyFont="1" applyBorder="1" applyAlignment="1">
      <alignment horizontal="right"/>
    </xf>
    <xf numFmtId="10" fontId="7" fillId="0" borderId="15" xfId="0" applyNumberFormat="1" applyFont="1" applyBorder="1" applyAlignment="1">
      <alignment/>
    </xf>
    <xf numFmtId="10" fontId="0" fillId="0" borderId="15" xfId="57" applyNumberFormat="1" applyFont="1" applyBorder="1" applyAlignment="1">
      <alignment/>
    </xf>
    <xf numFmtId="4" fontId="0" fillId="0" borderId="15" xfId="0" applyNumberFormat="1" applyBorder="1" applyAlignment="1">
      <alignment/>
    </xf>
    <xf numFmtId="0" fontId="11" fillId="0" borderId="0" xfId="0" applyFont="1" applyAlignment="1">
      <alignment/>
    </xf>
    <xf numFmtId="4" fontId="0" fillId="0" borderId="14" xfId="0" applyNumberFormat="1" applyFont="1" applyBorder="1" applyAlignment="1">
      <alignment/>
    </xf>
    <xf numFmtId="187" fontId="6" fillId="0" borderId="0" xfId="57" applyNumberFormat="1" applyFont="1" applyAlignment="1">
      <alignment/>
    </xf>
    <xf numFmtId="0" fontId="0" fillId="0" borderId="0" xfId="0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184" fontId="0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181" fontId="0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10" fontId="7" fillId="0" borderId="19" xfId="0" applyNumberFormat="1" applyFont="1" applyBorder="1" applyAlignment="1">
      <alignment/>
    </xf>
    <xf numFmtId="187" fontId="6" fillId="0" borderId="11" xfId="57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0" fontId="5" fillId="0" borderId="15" xfId="0" applyFont="1" applyBorder="1" applyAlignment="1">
      <alignment horizontal="right"/>
    </xf>
    <xf numFmtId="10" fontId="5" fillId="0" borderId="0" xfId="0" applyNumberFormat="1" applyFont="1" applyBorder="1" applyAlignment="1">
      <alignment horizontal="left"/>
    </xf>
    <xf numFmtId="10" fontId="7" fillId="0" borderId="0" xfId="0" applyNumberFormat="1" applyFont="1" applyBorder="1" applyAlignment="1">
      <alignment/>
    </xf>
    <xf numFmtId="185" fontId="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15" xfId="0" applyNumberFormat="1" applyBorder="1" applyAlignment="1">
      <alignment/>
    </xf>
    <xf numFmtId="0" fontId="13" fillId="0" borderId="0" xfId="0" applyFont="1" applyAlignment="1">
      <alignment horizontal="center"/>
    </xf>
    <xf numFmtId="10" fontId="7" fillId="0" borderId="0" xfId="0" applyNumberFormat="1" applyFont="1" applyBorder="1" applyAlignment="1">
      <alignment horizontal="right"/>
    </xf>
    <xf numFmtId="2" fontId="7" fillId="0" borderId="15" xfId="0" applyNumberFormat="1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10" fontId="6" fillId="0" borderId="0" xfId="0" applyNumberFormat="1" applyFont="1" applyBorder="1" applyAlignment="1">
      <alignment/>
    </xf>
    <xf numFmtId="0" fontId="6" fillId="0" borderId="13" xfId="0" applyFont="1" applyBorder="1" applyAlignment="1">
      <alignment horizontal="right"/>
    </xf>
    <xf numFmtId="10" fontId="6" fillId="0" borderId="13" xfId="0" applyNumberFormat="1" applyFont="1" applyBorder="1" applyAlignment="1">
      <alignment horizontal="left"/>
    </xf>
    <xf numFmtId="10" fontId="6" fillId="0" borderId="13" xfId="0" applyNumberFormat="1" applyFont="1" applyBorder="1" applyAlignment="1">
      <alignment horizontal="right"/>
    </xf>
    <xf numFmtId="10" fontId="6" fillId="0" borderId="14" xfId="0" applyNumberFormat="1" applyFont="1" applyBorder="1" applyAlignment="1">
      <alignment horizontal="right"/>
    </xf>
    <xf numFmtId="192" fontId="6" fillId="0" borderId="0" xfId="0" applyNumberFormat="1" applyFont="1" applyAlignment="1">
      <alignment/>
    </xf>
    <xf numFmtId="4" fontId="7" fillId="0" borderId="15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10" fontId="7" fillId="0" borderId="13" xfId="0" applyNumberFormat="1" applyFont="1" applyBorder="1" applyAlignment="1">
      <alignment horizontal="left"/>
    </xf>
    <xf numFmtId="3" fontId="7" fillId="0" borderId="13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7" fillId="0" borderId="15" xfId="0" applyFont="1" applyBorder="1" applyAlignment="1">
      <alignment horizontal="left"/>
    </xf>
    <xf numFmtId="1" fontId="0" fillId="0" borderId="0" xfId="0" applyNumberFormat="1" applyFont="1" applyAlignment="1">
      <alignment horizontal="right"/>
    </xf>
    <xf numFmtId="0" fontId="0" fillId="0" borderId="20" xfId="0" applyFont="1" applyBorder="1" applyAlignment="1">
      <alignment horizontal="right"/>
    </xf>
    <xf numFmtId="2" fontId="5" fillId="0" borderId="21" xfId="0" applyNumberFormat="1" applyFont="1" applyBorder="1" applyAlignment="1">
      <alignment/>
    </xf>
    <xf numFmtId="0" fontId="0" fillId="0" borderId="22" xfId="0" applyFont="1" applyBorder="1" applyAlignment="1">
      <alignment horizontal="right"/>
    </xf>
    <xf numFmtId="10" fontId="5" fillId="0" borderId="23" xfId="0" applyNumberFormat="1" applyFont="1" applyBorder="1" applyAlignment="1">
      <alignment/>
    </xf>
    <xf numFmtId="0" fontId="5" fillId="0" borderId="22" xfId="0" applyFont="1" applyBorder="1" applyAlignment="1">
      <alignment horizontal="left"/>
    </xf>
    <xf numFmtId="0" fontId="0" fillId="0" borderId="24" xfId="0" applyFont="1" applyBorder="1" applyAlignment="1">
      <alignment horizontal="right"/>
    </xf>
    <xf numFmtId="10" fontId="5" fillId="0" borderId="25" xfId="0" applyNumberFormat="1" applyFont="1" applyBorder="1" applyAlignment="1">
      <alignment/>
    </xf>
    <xf numFmtId="0" fontId="0" fillId="0" borderId="26" xfId="0" applyFont="1" applyBorder="1" applyAlignment="1">
      <alignment horizontal="right"/>
    </xf>
    <xf numFmtId="10" fontId="0" fillId="0" borderId="27" xfId="0" applyNumberFormat="1" applyFont="1" applyBorder="1" applyAlignment="1">
      <alignment horizontal="left"/>
    </xf>
    <xf numFmtId="0" fontId="5" fillId="0" borderId="26" xfId="0" applyFont="1" applyBorder="1" applyAlignment="1">
      <alignment horizontal="right"/>
    </xf>
    <xf numFmtId="10" fontId="5" fillId="0" borderId="27" xfId="0" applyNumberFormat="1" applyFont="1" applyBorder="1" applyAlignment="1">
      <alignment horizontal="left"/>
    </xf>
    <xf numFmtId="3" fontId="7" fillId="0" borderId="14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2" fontId="7" fillId="0" borderId="19" xfId="0" applyNumberFormat="1" applyFont="1" applyBorder="1" applyAlignment="1">
      <alignment horizontal="right"/>
    </xf>
    <xf numFmtId="192" fontId="6" fillId="0" borderId="11" xfId="0" applyNumberFormat="1" applyFont="1" applyBorder="1" applyAlignment="1">
      <alignment/>
    </xf>
    <xf numFmtId="185" fontId="7" fillId="0" borderId="11" xfId="0" applyNumberFormat="1" applyFont="1" applyBorder="1" applyAlignment="1">
      <alignment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4" fontId="0" fillId="0" borderId="0" xfId="0" applyNumberFormat="1" applyFont="1" applyAlignment="1" applyProtection="1">
      <alignment/>
      <protection locked="0"/>
    </xf>
    <xf numFmtId="4" fontId="0" fillId="0" borderId="11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0" fontId="7" fillId="0" borderId="0" xfId="57" applyNumberFormat="1" applyFont="1" applyAlignment="1">
      <alignment/>
    </xf>
    <xf numFmtId="10" fontId="7" fillId="0" borderId="11" xfId="57" applyNumberFormat="1" applyFont="1" applyBorder="1" applyAlignment="1">
      <alignment/>
    </xf>
    <xf numFmtId="0" fontId="11" fillId="0" borderId="0" xfId="0" applyFont="1" applyBorder="1" applyAlignment="1">
      <alignment/>
    </xf>
    <xf numFmtId="10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 horizontal="left"/>
    </xf>
    <xf numFmtId="2" fontId="0" fillId="0" borderId="0" xfId="0" applyNumberFormat="1" applyFont="1" applyAlignment="1">
      <alignment horizontal="right"/>
    </xf>
    <xf numFmtId="10" fontId="7" fillId="0" borderId="11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10" fontId="5" fillId="0" borderId="15" xfId="0" applyNumberFormat="1" applyFont="1" applyBorder="1" applyAlignment="1">
      <alignment horizontal="left"/>
    </xf>
    <xf numFmtId="10" fontId="5" fillId="0" borderId="28" xfId="0" applyNumberFormat="1" applyFont="1" applyBorder="1" applyAlignment="1">
      <alignment/>
    </xf>
    <xf numFmtId="10" fontId="6" fillId="0" borderId="26" xfId="0" applyNumberFormat="1" applyFont="1" applyBorder="1" applyAlignment="1">
      <alignment/>
    </xf>
    <xf numFmtId="10" fontId="6" fillId="0" borderId="27" xfId="0" applyNumberFormat="1" applyFont="1" applyBorder="1" applyAlignment="1">
      <alignment/>
    </xf>
    <xf numFmtId="192" fontId="6" fillId="0" borderId="0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horizontal="right"/>
    </xf>
    <xf numFmtId="10" fontId="7" fillId="0" borderId="27" xfId="57" applyNumberFormat="1" applyFont="1" applyBorder="1" applyAlignment="1">
      <alignment/>
    </xf>
    <xf numFmtId="187" fontId="6" fillId="0" borderId="0" xfId="0" applyNumberFormat="1" applyFont="1" applyAlignment="1">
      <alignment/>
    </xf>
    <xf numFmtId="3" fontId="5" fillId="0" borderId="11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/>
    </xf>
    <xf numFmtId="183" fontId="0" fillId="0" borderId="14" xfId="0" applyNumberFormat="1" applyFont="1" applyBorder="1" applyAlignment="1">
      <alignment/>
    </xf>
    <xf numFmtId="0" fontId="6" fillId="0" borderId="11" xfId="0" applyFont="1" applyBorder="1" applyAlignment="1">
      <alignment/>
    </xf>
    <xf numFmtId="183" fontId="0" fillId="0" borderId="11" xfId="0" applyNumberFormat="1" applyFont="1" applyBorder="1" applyAlignment="1">
      <alignment/>
    </xf>
    <xf numFmtId="4" fontId="7" fillId="0" borderId="13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3" fontId="7" fillId="0" borderId="16" xfId="0" applyNumberFormat="1" applyFont="1" applyBorder="1" applyAlignment="1">
      <alignment horizontal="right"/>
    </xf>
    <xf numFmtId="3" fontId="5" fillId="0" borderId="28" xfId="57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right"/>
    </xf>
    <xf numFmtId="1" fontId="7" fillId="0" borderId="19" xfId="0" applyNumberFormat="1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Border="1" applyAlignment="1">
      <alignment/>
    </xf>
    <xf numFmtId="4" fontId="0" fillId="0" borderId="15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19" xfId="0" applyFont="1" applyBorder="1" applyAlignment="1">
      <alignment/>
    </xf>
    <xf numFmtId="10" fontId="0" fillId="0" borderId="11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12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9" fontId="0" fillId="0" borderId="0" xfId="0" applyNumberFormat="1" applyFont="1" applyBorder="1" applyAlignment="1">
      <alignment horizontal="left"/>
    </xf>
    <xf numFmtId="187" fontId="0" fillId="0" borderId="0" xfId="57" applyNumberFormat="1" applyFont="1" applyAlignment="1">
      <alignment/>
    </xf>
    <xf numFmtId="4" fontId="0" fillId="0" borderId="11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7085"/>
          <c:h val="0.9525"/>
        </c:manualLayout>
      </c:layout>
      <c:lineChart>
        <c:grouping val="standard"/>
        <c:varyColors val="0"/>
        <c:ser>
          <c:idx val="0"/>
          <c:order val="0"/>
          <c:tx>
            <c:strRef>
              <c:f>'Beta completa'!$C$318</c:f>
              <c:strCache>
                <c:ptCount val="1"/>
                <c:pt idx="0">
                  <c:v>ß'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completa'!$D$318:$N$318</c:f>
              <c:numCache/>
            </c:numRef>
          </c:val>
          <c:smooth val="0"/>
        </c:ser>
        <c:ser>
          <c:idx val="2"/>
          <c:order val="1"/>
          <c:tx>
            <c:strRef>
              <c:f>'Beta completa'!$C$390</c:f>
              <c:strCache>
                <c:ptCount val="1"/>
                <c:pt idx="0">
                  <c:v>ß*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completa'!$D$390:$N$390</c:f>
              <c:numCache/>
            </c:numRef>
          </c:val>
          <c:smooth val="0"/>
        </c:ser>
        <c:ser>
          <c:idx val="3"/>
          <c:order val="2"/>
          <c:tx>
            <c:strRef>
              <c:f>'Beta completa'!$C$156</c:f>
              <c:strCache>
                <c:ptCount val="1"/>
                <c:pt idx="0">
                  <c:v>BETAe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completa'!$D$156:$N$156</c:f>
              <c:numCache/>
            </c:numRef>
          </c:val>
          <c:smooth val="0"/>
        </c:ser>
        <c:ser>
          <c:idx val="4"/>
          <c:order val="3"/>
          <c:tx>
            <c:strRef>
              <c:f>'Beta completa'!$C$130</c:f>
              <c:strCache>
                <c:ptCount val="1"/>
                <c:pt idx="0">
                  <c:v>BETAu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completa'!$D$130:$N$130</c:f>
              <c:numCache/>
            </c:numRef>
          </c:val>
          <c:smooth val="0"/>
        </c:ser>
        <c:ser>
          <c:idx val="1"/>
          <c:order val="4"/>
          <c:tx>
            <c:strRef>
              <c:f>'Beta completa'!$C$460</c:f>
              <c:strCache>
                <c:ptCount val="1"/>
                <c:pt idx="0">
                  <c:v>ß''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completa'!$D$460:$N$460</c:f>
              <c:numCache/>
            </c:numRef>
          </c:val>
          <c:smooth val="0"/>
        </c:ser>
        <c:ser>
          <c:idx val="5"/>
          <c:order val="5"/>
          <c:tx>
            <c:strRef>
              <c:f>'Beta completa'!$C$544</c:f>
              <c:strCache>
                <c:ptCount val="1"/>
                <c:pt idx="0">
                  <c:v>ß'''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completa'!$D$544:$N$544</c:f>
              <c:numCache/>
            </c:numRef>
          </c:val>
          <c:smooth val="0"/>
        </c:ser>
        <c:marker val="1"/>
        <c:axId val="48926256"/>
        <c:axId val="54197873"/>
      </c:lineChart>
      <c:catAx>
        <c:axId val="489262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197873"/>
        <c:crosses val="autoZero"/>
        <c:auto val="0"/>
        <c:lblOffset val="100"/>
        <c:tickLblSkip val="1"/>
        <c:noMultiLvlLbl val="0"/>
      </c:catAx>
      <c:valAx>
        <c:axId val="54197873"/>
        <c:scaling>
          <c:orientation val="minMax"/>
          <c:max val="2.2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926256"/>
        <c:crossesAt val="1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"/>
          <c:y val="0.32325"/>
          <c:w val="0.2105"/>
          <c:h val="0.4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ms Rmn"/>
          <a:ea typeface="Tms Rmn"/>
          <a:cs typeface="Tms Rm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7315"/>
          <c:h val="0.9525"/>
        </c:manualLayout>
      </c:layout>
      <c:lineChart>
        <c:grouping val="standard"/>
        <c:varyColors val="0"/>
        <c:ser>
          <c:idx val="1"/>
          <c:order val="0"/>
          <c:tx>
            <c:strRef>
              <c:f>'Beta completa'!$C$133</c:f>
              <c:strCache>
                <c:ptCount val="1"/>
                <c:pt idx="0">
                  <c:v>Ku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completa'!$D$133:$N$133</c:f>
              <c:numCache/>
            </c:numRef>
          </c:val>
          <c:smooth val="0"/>
        </c:ser>
        <c:ser>
          <c:idx val="2"/>
          <c:order val="1"/>
          <c:tx>
            <c:strRef>
              <c:f>'Beta completa'!$C$319</c:f>
              <c:strCache>
                <c:ptCount val="1"/>
                <c:pt idx="0">
                  <c:v>Ke'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completa'!$D$319:$N$319</c:f>
              <c:numCache/>
            </c:numRef>
          </c:val>
          <c:smooth val="0"/>
        </c:ser>
        <c:ser>
          <c:idx val="3"/>
          <c:order val="2"/>
          <c:tx>
            <c:strRef>
              <c:f>'Beta completa'!$C$157</c:f>
              <c:strCache>
                <c:ptCount val="1"/>
                <c:pt idx="0">
                  <c:v>Ke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completa'!$D$157:$N$157</c:f>
              <c:numCache/>
            </c:numRef>
          </c:val>
          <c:smooth val="0"/>
        </c:ser>
        <c:ser>
          <c:idx val="4"/>
          <c:order val="3"/>
          <c:tx>
            <c:strRef>
              <c:f>'Beta completa'!$C$391</c:f>
              <c:strCache>
                <c:ptCount val="1"/>
                <c:pt idx="0">
                  <c:v>Ke*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completa'!$D$391:$N$391</c:f>
              <c:numCache/>
            </c:numRef>
          </c:val>
          <c:smooth val="0"/>
        </c:ser>
        <c:ser>
          <c:idx val="0"/>
          <c:order val="4"/>
          <c:tx>
            <c:strRef>
              <c:f>'Beta completa'!$C$461</c:f>
              <c:strCache>
                <c:ptCount val="1"/>
                <c:pt idx="0">
                  <c:v>Ke''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completa'!$D$461:$N$461</c:f>
              <c:numCache/>
            </c:numRef>
          </c:val>
          <c:smooth val="0"/>
        </c:ser>
        <c:ser>
          <c:idx val="5"/>
          <c:order val="5"/>
          <c:tx>
            <c:strRef>
              <c:f>'Beta completa'!$C$545</c:f>
              <c:strCache>
                <c:ptCount val="1"/>
                <c:pt idx="0">
                  <c:v>Ke'''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completa'!$D$545:$N$545</c:f>
              <c:numCache/>
            </c:numRef>
          </c:val>
          <c:smooth val="0"/>
        </c:ser>
        <c:marker val="1"/>
        <c:axId val="22985182"/>
        <c:axId val="27700231"/>
      </c:lineChart>
      <c:catAx>
        <c:axId val="2298518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700231"/>
        <c:crosses val="autoZero"/>
        <c:auto val="0"/>
        <c:lblOffset val="100"/>
        <c:tickLblSkip val="1"/>
        <c:noMultiLvlLbl val="0"/>
      </c:catAx>
      <c:valAx>
        <c:axId val="27700231"/>
        <c:scaling>
          <c:orientation val="minMax"/>
          <c:min val="0.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985182"/>
        <c:crossesAt val="1"/>
        <c:crossBetween val="midCat"/>
        <c:dispUnits/>
        <c:majorUnit val="0.0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"/>
          <c:y val="0.32325"/>
          <c:w val="0.18075"/>
          <c:h val="0.4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ms Rmn"/>
          <a:ea typeface="Tms Rmn"/>
          <a:cs typeface="Tms Rm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68475"/>
          <c:h val="0.9525"/>
        </c:manualLayout>
      </c:layout>
      <c:lineChart>
        <c:grouping val="standard"/>
        <c:varyColors val="0"/>
        <c:ser>
          <c:idx val="1"/>
          <c:order val="0"/>
          <c:tx>
            <c:strRef>
              <c:f>'Beta completa'!$C$133</c:f>
              <c:strCache>
                <c:ptCount val="1"/>
                <c:pt idx="0">
                  <c:v>Ku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completa'!$D$133:$N$133</c:f>
              <c:numCache/>
            </c:numRef>
          </c:val>
          <c:smooth val="0"/>
        </c:ser>
        <c:ser>
          <c:idx val="2"/>
          <c:order val="1"/>
          <c:tx>
            <c:strRef>
              <c:f>'Beta completa'!$C$326</c:f>
              <c:strCache>
                <c:ptCount val="1"/>
                <c:pt idx="0">
                  <c:v>WACC'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completa'!$D$326:$N$326</c:f>
              <c:numCache/>
            </c:numRef>
          </c:val>
          <c:smooth val="0"/>
        </c:ser>
        <c:ser>
          <c:idx val="3"/>
          <c:order val="2"/>
          <c:tx>
            <c:strRef>
              <c:f>'Beta completa'!$C$164</c:f>
              <c:strCache>
                <c:ptCount val="1"/>
                <c:pt idx="0">
                  <c:v>WACC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completa'!$D$164:$N$164</c:f>
              <c:numCache/>
            </c:numRef>
          </c:val>
          <c:smooth val="0"/>
        </c:ser>
        <c:ser>
          <c:idx val="4"/>
          <c:order val="3"/>
          <c:tx>
            <c:strRef>
              <c:f>'Beta completa'!$C$398</c:f>
              <c:strCache>
                <c:ptCount val="1"/>
                <c:pt idx="0">
                  <c:v>WACC*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completa'!$D$398:$N$398</c:f>
              <c:numCache/>
            </c:numRef>
          </c:val>
          <c:smooth val="0"/>
        </c:ser>
        <c:ser>
          <c:idx val="0"/>
          <c:order val="4"/>
          <c:tx>
            <c:strRef>
              <c:f>'Beta completa'!$C$468</c:f>
              <c:strCache>
                <c:ptCount val="1"/>
                <c:pt idx="0">
                  <c:v>WACC''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completa'!$D$468:$N$468</c:f>
              <c:numCache/>
            </c:numRef>
          </c:val>
          <c:smooth val="0"/>
        </c:ser>
        <c:ser>
          <c:idx val="5"/>
          <c:order val="5"/>
          <c:tx>
            <c:strRef>
              <c:f>'Beta completa'!$C$552</c:f>
              <c:strCache>
                <c:ptCount val="1"/>
                <c:pt idx="0">
                  <c:v>WACC'''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completa'!$D$552:$N$552</c:f>
              <c:numCache/>
            </c:numRef>
          </c:val>
          <c:smooth val="0"/>
        </c:ser>
        <c:marker val="1"/>
        <c:axId val="38550844"/>
        <c:axId val="57066381"/>
      </c:lineChart>
      <c:catAx>
        <c:axId val="385508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066381"/>
        <c:crosses val="autoZero"/>
        <c:auto val="0"/>
        <c:lblOffset val="100"/>
        <c:tickLblSkip val="1"/>
        <c:noMultiLvlLbl val="0"/>
      </c:catAx>
      <c:valAx>
        <c:axId val="57066381"/>
        <c:scaling>
          <c:orientation val="minMax"/>
          <c:min val="0.0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550844"/>
        <c:crossesAt val="1"/>
        <c:crossBetween val="midCat"/>
        <c:dispUnits/>
        <c:majorUnit val="0.0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"/>
          <c:y val="0.32325"/>
          <c:w val="0.223"/>
          <c:h val="0.4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ms Rmn"/>
          <a:ea typeface="Tms Rmn"/>
          <a:cs typeface="Tms Rm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558"/>
          <c:h val="0.9525"/>
        </c:manualLayout>
      </c:layout>
      <c:lineChart>
        <c:grouping val="standard"/>
        <c:varyColors val="0"/>
        <c:ser>
          <c:idx val="2"/>
          <c:order val="0"/>
          <c:tx>
            <c:strRef>
              <c:f>'Beta completa'!$C$341</c:f>
              <c:strCache>
                <c:ptCount val="1"/>
                <c:pt idx="0">
                  <c:v>WACC'vc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completa'!$D$341:$N$341</c:f>
              <c:numCache/>
            </c:numRef>
          </c:val>
          <c:smooth val="0"/>
        </c:ser>
        <c:ser>
          <c:idx val="3"/>
          <c:order val="1"/>
          <c:tx>
            <c:strRef>
              <c:f>'Beta completa'!$C$206</c:f>
              <c:strCache>
                <c:ptCount val="1"/>
                <c:pt idx="0">
                  <c:v>VAN(Ku;FCF\\Ku)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completa'!$D$206:$N$206</c:f>
              <c:numCache/>
            </c:numRef>
          </c:val>
          <c:smooth val="0"/>
        </c:ser>
        <c:ser>
          <c:idx val="4"/>
          <c:order val="2"/>
          <c:tx>
            <c:strRef>
              <c:f>'Beta completa'!$C$413</c:f>
              <c:strCache>
                <c:ptCount val="1"/>
                <c:pt idx="0">
                  <c:v>WACC*vc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completa'!$D$413:$N$413</c:f>
              <c:numCache/>
            </c:numRef>
          </c:val>
          <c:smooth val="0"/>
        </c:ser>
        <c:marker val="1"/>
        <c:axId val="17850314"/>
        <c:axId val="65066627"/>
      </c:lineChart>
      <c:catAx>
        <c:axId val="1785031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066627"/>
        <c:crosses val="autoZero"/>
        <c:auto val="0"/>
        <c:lblOffset val="100"/>
        <c:tickLblSkip val="1"/>
        <c:noMultiLvlLbl val="0"/>
      </c:catAx>
      <c:valAx>
        <c:axId val="65066627"/>
        <c:scaling>
          <c:orientation val="minMax"/>
          <c:min val="0.0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850314"/>
        <c:crossesAt val="1"/>
        <c:crossBetween val="midCat"/>
        <c:dispUnits/>
        <c:majorUnit val="16.14108657199565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85"/>
          <c:y val="0.3975"/>
          <c:w val="0.343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ms Rmn"/>
          <a:ea typeface="Tms Rmn"/>
          <a:cs typeface="Tms Rm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ms Rmn"/>
                <a:ea typeface="Tms Rmn"/>
                <a:cs typeface="Tms Rmn"/>
              </a:rPr>
              <a:t>Valor de la deuda y las acciones en t = 0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05"/>
          <c:w val="0.90925"/>
          <c:h val="0.89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'Beta completa'!$D$631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Tms Rmn"/>
                    <a:ea typeface="Tms Rmn"/>
                    <a:cs typeface="Tms Rm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'Beta completa'!$C$632:$C$638</c:f>
              <c:strCache/>
            </c:strRef>
          </c:cat>
          <c:val>
            <c:numRef>
              <c:f>'Beta completa'!$D$632:$D$638</c:f>
              <c:numCache/>
            </c:numRef>
          </c:val>
        </c:ser>
        <c:ser>
          <c:idx val="1"/>
          <c:order val="1"/>
          <c:tx>
            <c:strRef>
              <c:f>'Beta completa'!$E$631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Tms Rmn"/>
                    <a:ea typeface="Tms Rmn"/>
                    <a:cs typeface="Tms Rm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'Beta completa'!$C$632:$C$638</c:f>
              <c:strCache/>
            </c:strRef>
          </c:cat>
          <c:val>
            <c:numRef>
              <c:f>'Beta completa'!$E$632:$E$638</c:f>
              <c:numCache/>
            </c:numRef>
          </c:val>
        </c:ser>
        <c:overlap val="100"/>
        <c:axId val="42317064"/>
        <c:axId val="25219689"/>
      </c:barChart>
      <c:catAx>
        <c:axId val="423170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219689"/>
        <c:crosses val="autoZero"/>
        <c:auto val="0"/>
        <c:lblOffset val="100"/>
        <c:tickLblSkip val="1"/>
        <c:noMultiLvlLbl val="0"/>
      </c:catAx>
      <c:valAx>
        <c:axId val="252196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3170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3325"/>
          <c:y val="0.024"/>
          <c:w val="0.072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ms Rmn"/>
          <a:ea typeface="Tms Rmn"/>
          <a:cs typeface="Tms Rmn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"/>
          <c:w val="0.754"/>
          <c:h val="0.9625"/>
        </c:manualLayout>
      </c:layout>
      <c:lineChart>
        <c:grouping val="standard"/>
        <c:varyColors val="0"/>
        <c:ser>
          <c:idx val="1"/>
          <c:order val="0"/>
          <c:tx>
            <c:strRef>
              <c:f>'Beta completa'!$C$669</c:f>
              <c:strCache>
                <c:ptCount val="1"/>
                <c:pt idx="0">
                  <c:v>Vu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completa'!$D$669:$N$669</c:f>
              <c:numCache/>
            </c:numRef>
          </c:val>
          <c:smooth val="0"/>
        </c:ser>
        <c:ser>
          <c:idx val="2"/>
          <c:order val="1"/>
          <c:tx>
            <c:strRef>
              <c:f>'Beta completa'!$C$670</c:f>
              <c:strCache>
                <c:ptCount val="1"/>
                <c:pt idx="0">
                  <c:v>E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completa'!$D$670:$N$670</c:f>
              <c:numCache/>
            </c:numRef>
          </c:val>
          <c:smooth val="0"/>
        </c:ser>
        <c:ser>
          <c:idx val="3"/>
          <c:order val="2"/>
          <c:tx>
            <c:strRef>
              <c:f>'Beta completa'!$C$671</c:f>
              <c:strCache>
                <c:ptCount val="1"/>
                <c:pt idx="0">
                  <c:v>E'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completa'!$D$671:$N$671</c:f>
              <c:numCache/>
            </c:numRef>
          </c:val>
          <c:smooth val="0"/>
        </c:ser>
        <c:ser>
          <c:idx val="4"/>
          <c:order val="3"/>
          <c:tx>
            <c:strRef>
              <c:f>'Beta completa'!$C$672</c:f>
              <c:strCache>
                <c:ptCount val="1"/>
                <c:pt idx="0">
                  <c:v>E*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completa'!$D$672:$N$672</c:f>
              <c:numCache/>
            </c:numRef>
          </c:val>
          <c:smooth val="0"/>
        </c:ser>
        <c:ser>
          <c:idx val="0"/>
          <c:order val="4"/>
          <c:tx>
            <c:strRef>
              <c:f>'Beta completa'!$C$673</c:f>
              <c:strCache>
                <c:ptCount val="1"/>
                <c:pt idx="0">
                  <c:v>E''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completa'!$D$673:$N$673</c:f>
              <c:numCache/>
            </c:numRef>
          </c:val>
          <c:smooth val="0"/>
        </c:ser>
        <c:ser>
          <c:idx val="5"/>
          <c:order val="5"/>
          <c:tx>
            <c:strRef>
              <c:f>'Beta completa'!$C$674</c:f>
              <c:strCache>
                <c:ptCount val="1"/>
                <c:pt idx="0">
                  <c:v>E'''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completa'!$D$674:$N$674</c:f>
              <c:numCache/>
            </c:numRef>
          </c:val>
          <c:smooth val="0"/>
        </c:ser>
        <c:marker val="1"/>
        <c:axId val="61144182"/>
        <c:axId val="24767"/>
      </c:lineChart>
      <c:catAx>
        <c:axId val="6114418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767"/>
        <c:crosses val="autoZero"/>
        <c:auto val="0"/>
        <c:lblOffset val="100"/>
        <c:tickLblSkip val="1"/>
        <c:noMultiLvlLbl val="0"/>
      </c:catAx>
      <c:valAx>
        <c:axId val="24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144182"/>
        <c:crossesAt val="1"/>
        <c:crossBetween val="midCat"/>
        <c:dispUnits/>
        <c:majorUnit val="1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"/>
          <c:y val="0.37625"/>
          <c:w val="0.1605"/>
          <c:h val="0.3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ms Rmn"/>
          <a:ea typeface="Tms Rmn"/>
          <a:cs typeface="Tms Rm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648"/>
          <c:h val="0.9625"/>
        </c:manualLayout>
      </c:layout>
      <c:lineChart>
        <c:grouping val="standard"/>
        <c:varyColors val="0"/>
        <c:ser>
          <c:idx val="1"/>
          <c:order val="0"/>
          <c:tx>
            <c:strRef>
              <c:f>'Beta completa'!$C$140</c:f>
              <c:strCache>
                <c:ptCount val="1"/>
                <c:pt idx="0">
                  <c:v>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completa'!$D$140:$N$140</c:f>
              <c:numCache/>
            </c:numRef>
          </c:val>
          <c:smooth val="0"/>
        </c:ser>
        <c:ser>
          <c:idx val="2"/>
          <c:order val="1"/>
          <c:tx>
            <c:strRef>
              <c:f>'Beta completa'!$C$675</c:f>
              <c:strCache>
                <c:ptCount val="1"/>
                <c:pt idx="0">
                  <c:v>DVTS-CA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completa'!$D$675:$N$675</c:f>
              <c:numCache/>
            </c:numRef>
          </c:val>
          <c:smooth val="0"/>
        </c:ser>
        <c:ser>
          <c:idx val="3"/>
          <c:order val="2"/>
          <c:tx>
            <c:strRef>
              <c:f>'Beta completa'!$C$676</c:f>
              <c:strCache>
                <c:ptCount val="1"/>
                <c:pt idx="0">
                  <c:v>DVTS-CA'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completa'!$D$676:$N$676</c:f>
              <c:numCache/>
            </c:numRef>
          </c:val>
          <c:smooth val="0"/>
        </c:ser>
        <c:ser>
          <c:idx val="4"/>
          <c:order val="3"/>
          <c:tx>
            <c:strRef>
              <c:f>'Beta completa'!$C$677</c:f>
              <c:strCache>
                <c:ptCount val="1"/>
                <c:pt idx="0">
                  <c:v>DVTS-CA*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completa'!$D$677:$N$677</c:f>
              <c:numCache/>
            </c:numRef>
          </c:val>
          <c:smooth val="0"/>
        </c:ser>
        <c:ser>
          <c:idx val="0"/>
          <c:order val="4"/>
          <c:tx>
            <c:strRef>
              <c:f>'Beta completa'!$C$678</c:f>
              <c:strCache>
                <c:ptCount val="1"/>
                <c:pt idx="0">
                  <c:v>DVTS-CA''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completa'!$D$678:$N$678</c:f>
              <c:numCache/>
            </c:numRef>
          </c:val>
          <c:smooth val="0"/>
        </c:ser>
        <c:ser>
          <c:idx val="5"/>
          <c:order val="5"/>
          <c:tx>
            <c:strRef>
              <c:f>'Beta completa'!$C$679</c:f>
              <c:strCache>
                <c:ptCount val="1"/>
                <c:pt idx="0">
                  <c:v>DVTSm'''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completa'!$D$679:$N$679</c:f>
              <c:numCache/>
            </c:numRef>
          </c:val>
          <c:smooth val="0"/>
        </c:ser>
        <c:marker val="1"/>
        <c:axId val="1114516"/>
        <c:axId val="50153221"/>
      </c:lineChart>
      <c:catAx>
        <c:axId val="11145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153221"/>
        <c:crosses val="autoZero"/>
        <c:auto val="0"/>
        <c:lblOffset val="100"/>
        <c:tickLblSkip val="1"/>
        <c:noMultiLvlLbl val="0"/>
      </c:catAx>
      <c:valAx>
        <c:axId val="501532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1451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"/>
          <c:y val="0.3785"/>
          <c:w val="0.262"/>
          <c:h val="0.3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ms Rmn"/>
          <a:ea typeface="Tms Rmn"/>
          <a:cs typeface="Tms Rm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0.84375</cdr:x>
      <cdr:y>0.72125</cdr:y>
    </cdr:from>
    <cdr:to>
      <cdr:x>0.87825</cdr:x>
      <cdr:y>0.77175</cdr:y>
    </cdr:to>
    <cdr:sp>
      <cdr:nvSpPr>
        <cdr:cNvPr id="1" name="Text 1"/>
        <cdr:cNvSpPr txBox="1">
          <a:spLocks noChangeArrowheads="1"/>
        </cdr:cNvSpPr>
      </cdr:nvSpPr>
      <cdr:spPr>
        <a:xfrm>
          <a:off x="10229850" y="2924175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ms Rmn"/>
              <a:ea typeface="Tms Rmn"/>
              <a:cs typeface="Tms Rmn"/>
            </a:rPr>
            <a:t>Vu</a:t>
          </a:r>
        </a:p>
      </cdr:txBody>
    </cdr:sp>
  </cdr:relSizeAnchor>
  <cdr:relSizeAnchor xmlns:cdr="http://schemas.openxmlformats.org/drawingml/2006/chartDrawing">
    <cdr:from>
      <cdr:x>0.83875</cdr:x>
      <cdr:y>0.38175</cdr:y>
    </cdr:from>
    <cdr:to>
      <cdr:x>0.8895</cdr:x>
      <cdr:y>0.42925</cdr:y>
    </cdr:to>
    <cdr:sp>
      <cdr:nvSpPr>
        <cdr:cNvPr id="2" name="Text 2"/>
        <cdr:cNvSpPr txBox="1">
          <a:spLocks noChangeArrowheads="1"/>
        </cdr:cNvSpPr>
      </cdr:nvSpPr>
      <cdr:spPr>
        <a:xfrm>
          <a:off x="10172700" y="1543050"/>
          <a:ext cx="619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ms Rmn"/>
              <a:ea typeface="Tms Rmn"/>
              <a:cs typeface="Tms Rmn"/>
            </a:rPr>
            <a:t>DVTS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598</xdr:row>
      <xdr:rowOff>0</xdr:rowOff>
    </xdr:from>
    <xdr:to>
      <xdr:col>7</xdr:col>
      <xdr:colOff>590550</xdr:colOff>
      <xdr:row>612</xdr:row>
      <xdr:rowOff>0</xdr:rowOff>
    </xdr:to>
    <xdr:graphicFrame>
      <xdr:nvGraphicFramePr>
        <xdr:cNvPr id="1" name="Chart 56"/>
        <xdr:cNvGraphicFramePr/>
      </xdr:nvGraphicFramePr>
      <xdr:xfrm>
        <a:off x="0" y="69437250"/>
        <a:ext cx="62103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598</xdr:row>
      <xdr:rowOff>0</xdr:rowOff>
    </xdr:from>
    <xdr:to>
      <xdr:col>15</xdr:col>
      <xdr:colOff>666750</xdr:colOff>
      <xdr:row>612</xdr:row>
      <xdr:rowOff>0</xdr:rowOff>
    </xdr:to>
    <xdr:graphicFrame>
      <xdr:nvGraphicFramePr>
        <xdr:cNvPr id="2" name="Chart 57"/>
        <xdr:cNvGraphicFramePr/>
      </xdr:nvGraphicFramePr>
      <xdr:xfrm>
        <a:off x="6457950" y="69437250"/>
        <a:ext cx="61341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613</xdr:row>
      <xdr:rowOff>0</xdr:rowOff>
    </xdr:from>
    <xdr:to>
      <xdr:col>7</xdr:col>
      <xdr:colOff>590550</xdr:colOff>
      <xdr:row>627</xdr:row>
      <xdr:rowOff>0</xdr:rowOff>
    </xdr:to>
    <xdr:graphicFrame>
      <xdr:nvGraphicFramePr>
        <xdr:cNvPr id="3" name="Chart 60"/>
        <xdr:cNvGraphicFramePr/>
      </xdr:nvGraphicFramePr>
      <xdr:xfrm>
        <a:off x="0" y="71866125"/>
        <a:ext cx="621030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613</xdr:row>
      <xdr:rowOff>0</xdr:rowOff>
    </xdr:from>
    <xdr:to>
      <xdr:col>15</xdr:col>
      <xdr:colOff>666750</xdr:colOff>
      <xdr:row>627</xdr:row>
      <xdr:rowOff>0</xdr:rowOff>
    </xdr:to>
    <xdr:graphicFrame>
      <xdr:nvGraphicFramePr>
        <xdr:cNvPr id="4" name="Chart 61"/>
        <xdr:cNvGraphicFramePr/>
      </xdr:nvGraphicFramePr>
      <xdr:xfrm>
        <a:off x="6457950" y="71866125"/>
        <a:ext cx="6134100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276225</xdr:colOff>
      <xdr:row>639</xdr:row>
      <xdr:rowOff>0</xdr:rowOff>
    </xdr:from>
    <xdr:to>
      <xdr:col>15</xdr:col>
      <xdr:colOff>485775</xdr:colOff>
      <xdr:row>664</xdr:row>
      <xdr:rowOff>0</xdr:rowOff>
    </xdr:to>
    <xdr:graphicFrame>
      <xdr:nvGraphicFramePr>
        <xdr:cNvPr id="5" name="Chart 62"/>
        <xdr:cNvGraphicFramePr/>
      </xdr:nvGraphicFramePr>
      <xdr:xfrm>
        <a:off x="276225" y="76076175"/>
        <a:ext cx="12134850" cy="4057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</xdr:colOff>
      <xdr:row>684</xdr:row>
      <xdr:rowOff>0</xdr:rowOff>
    </xdr:from>
    <xdr:to>
      <xdr:col>7</xdr:col>
      <xdr:colOff>628650</xdr:colOff>
      <xdr:row>700</xdr:row>
      <xdr:rowOff>152400</xdr:rowOff>
    </xdr:to>
    <xdr:graphicFrame>
      <xdr:nvGraphicFramePr>
        <xdr:cNvPr id="6" name="Chart 76"/>
        <xdr:cNvGraphicFramePr/>
      </xdr:nvGraphicFramePr>
      <xdr:xfrm>
        <a:off x="28575" y="83362800"/>
        <a:ext cx="621982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28575</xdr:colOff>
      <xdr:row>684</xdr:row>
      <xdr:rowOff>0</xdr:rowOff>
    </xdr:from>
    <xdr:to>
      <xdr:col>15</xdr:col>
      <xdr:colOff>704850</xdr:colOff>
      <xdr:row>701</xdr:row>
      <xdr:rowOff>0</xdr:rowOff>
    </xdr:to>
    <xdr:graphicFrame>
      <xdr:nvGraphicFramePr>
        <xdr:cNvPr id="7" name="Chart 77"/>
        <xdr:cNvGraphicFramePr/>
      </xdr:nvGraphicFramePr>
      <xdr:xfrm>
        <a:off x="6486525" y="83362800"/>
        <a:ext cx="6143625" cy="2752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6"/>
  <sheetViews>
    <sheetView zoomScalePageLayoutView="0" workbookViewId="0" topLeftCell="A1">
      <selection activeCell="B33" sqref="B33"/>
    </sheetView>
  </sheetViews>
  <sheetFormatPr defaultColWidth="11.25390625" defaultRowHeight="12"/>
  <cols>
    <col min="1" max="1" width="11.25390625" style="20" customWidth="1"/>
    <col min="2" max="2" width="26.75390625" style="0" customWidth="1"/>
  </cols>
  <sheetData>
    <row r="2" spans="1:8" ht="11.25" thickBot="1">
      <c r="A2" s="222" t="s">
        <v>0</v>
      </c>
      <c r="C2" s="91">
        <v>0</v>
      </c>
      <c r="D2" s="91">
        <v>1</v>
      </c>
      <c r="E2" s="91">
        <v>2</v>
      </c>
      <c r="F2" s="219">
        <v>3</v>
      </c>
      <c r="G2" s="91">
        <v>4</v>
      </c>
      <c r="H2" s="91">
        <v>5</v>
      </c>
    </row>
    <row r="3" spans="1:9" ht="10.5">
      <c r="A3" s="223"/>
      <c r="B3" s="7" t="s">
        <v>1</v>
      </c>
      <c r="C3" s="212">
        <f>'Beta completa'!D133</f>
        <v>0.09</v>
      </c>
      <c r="D3" s="212">
        <f>'Beta completa'!E133</f>
        <v>0.09</v>
      </c>
      <c r="E3" s="212">
        <f>'Beta completa'!F133</f>
        <v>0.09</v>
      </c>
      <c r="F3" s="220">
        <f>'Beta completa'!G133</f>
        <v>0.09</v>
      </c>
      <c r="G3" s="212">
        <f>'Beta completa'!H133</f>
        <v>0.09</v>
      </c>
      <c r="H3" s="212">
        <f>'Beta completa'!I133</f>
        <v>0.09</v>
      </c>
      <c r="I3" s="212">
        <f>'Beta completa'!J133</f>
        <v>0.09</v>
      </c>
    </row>
    <row r="4" spans="1:9" ht="10.5">
      <c r="A4" s="223"/>
      <c r="B4" s="7" t="s">
        <v>2</v>
      </c>
      <c r="C4" s="212">
        <f>'Beta completa'!D157</f>
        <v>0.10562932451877956</v>
      </c>
      <c r="D4" s="212">
        <f>'Beta completa'!E157</f>
        <v>0.10481424360290809</v>
      </c>
      <c r="E4" s="212">
        <f>'Beta completa'!F157</f>
        <v>0.10384780361246408</v>
      </c>
      <c r="F4" s="220">
        <f>'Beta completa'!G157</f>
        <v>0.10323504119155302</v>
      </c>
      <c r="G4" s="212">
        <f>'Beta completa'!H157</f>
        <v>0.10323657267532277</v>
      </c>
      <c r="H4" s="212">
        <f>'Beta completa'!I157</f>
        <v>0.10323824381546687</v>
      </c>
      <c r="I4" s="212">
        <f>'Beta completa'!J157</f>
        <v>0.10323824381546687</v>
      </c>
    </row>
    <row r="5" spans="1:9" ht="10.5">
      <c r="A5" s="223"/>
      <c r="B5" s="7"/>
      <c r="C5" s="212"/>
      <c r="D5" s="212"/>
      <c r="E5" s="212"/>
      <c r="F5" s="220"/>
      <c r="G5" s="212"/>
      <c r="H5" s="212"/>
      <c r="I5" s="212"/>
    </row>
    <row r="6" spans="1:9" ht="10.5">
      <c r="A6" s="223" t="s">
        <v>297</v>
      </c>
      <c r="B6" s="82" t="s">
        <v>3</v>
      </c>
      <c r="C6" s="3">
        <f>'Beta completa'!D168</f>
        <v>2343.6281251161754</v>
      </c>
      <c r="D6" s="3">
        <f>'Beta completa'!E168</f>
        <v>2417.5546563766316</v>
      </c>
      <c r="E6" s="3">
        <f>'Beta completa'!F168</f>
        <v>2768.134575450528</v>
      </c>
      <c r="F6" s="43">
        <f>'Beta completa'!G168</f>
        <v>2845.366687241076</v>
      </c>
      <c r="G6" s="3">
        <f>'Beta completa'!H168</f>
        <v>2930.5196890927728</v>
      </c>
      <c r="H6" s="3">
        <f>'Beta completa'!I168</f>
        <v>3018.2015611111224</v>
      </c>
      <c r="I6" s="3">
        <f>'Beta completa'!J168</f>
        <v>3108.7476079444564</v>
      </c>
    </row>
    <row r="7" spans="1:9" ht="10.5">
      <c r="A7" s="223" t="s">
        <v>298</v>
      </c>
      <c r="B7" s="82" t="s">
        <v>4</v>
      </c>
      <c r="C7" s="212">
        <f>'Beta completa'!D164</f>
        <v>0.07847940092941937</v>
      </c>
      <c r="D7" s="212">
        <f>'Beta completa'!E164</f>
        <v>0.07883168993561995</v>
      </c>
      <c r="E7" s="212">
        <f>'Beta completa'!F164</f>
        <v>0.07927075285161446</v>
      </c>
      <c r="F7" s="220">
        <f>'Beta completa'!G164</f>
        <v>0.07956197802793645</v>
      </c>
      <c r="G7" s="212">
        <f>'Beta completa'!H164</f>
        <v>0.07956123717105265</v>
      </c>
      <c r="H7" s="212">
        <f>'Beta completa'!I164</f>
        <v>0.07956042883086961</v>
      </c>
      <c r="I7" s="212">
        <f>'Beta completa'!J164</f>
        <v>0.0795604288308696</v>
      </c>
    </row>
    <row r="8" spans="1:9" ht="11.25" thickBot="1">
      <c r="A8" s="224"/>
      <c r="B8" s="91" t="s">
        <v>5</v>
      </c>
      <c r="C8" s="144">
        <f>'Beta completa'!D169</f>
        <v>1343.6281251161747</v>
      </c>
      <c r="D8" s="144">
        <f>'Beta completa'!E169</f>
        <v>1417.5546563766306</v>
      </c>
      <c r="E8" s="144">
        <f>'Beta completa'!F169</f>
        <v>1668.1345754505269</v>
      </c>
      <c r="F8" s="145">
        <f>'Beta completa'!G169</f>
        <v>1745.3666872410747</v>
      </c>
      <c r="G8" s="144">
        <f>'Beta completa'!H169</f>
        <v>1797.5196890927716</v>
      </c>
      <c r="H8" s="144">
        <f>'Beta completa'!I169</f>
        <v>1851.211561111121</v>
      </c>
      <c r="I8" s="144">
        <f>'Beta completa'!J169</f>
        <v>1906.7479079444547</v>
      </c>
    </row>
    <row r="9" spans="1:9" ht="11.25" thickBot="1">
      <c r="A9" s="224" t="s">
        <v>299</v>
      </c>
      <c r="B9" s="151" t="s">
        <v>6</v>
      </c>
      <c r="C9" s="144">
        <f>'Beta completa'!D161</f>
        <v>1343.6281251161736</v>
      </c>
      <c r="D9" s="144">
        <f>'Beta completa'!E161</f>
        <v>1417.554656376629</v>
      </c>
      <c r="E9" s="144">
        <f>'Beta completa'!F161</f>
        <v>1668.1345754505255</v>
      </c>
      <c r="F9" s="145">
        <f>'Beta completa'!G161</f>
        <v>1745.3666872410731</v>
      </c>
      <c r="G9" s="144">
        <f>'Beta completa'!H161</f>
        <v>1797.5196890927698</v>
      </c>
      <c r="H9" s="144">
        <f>'Beta completa'!I161</f>
        <v>1851.2115611111199</v>
      </c>
      <c r="I9" s="144">
        <f>'Beta completa'!J161</f>
        <v>1906.747907944454</v>
      </c>
    </row>
    <row r="10" spans="1:9" ht="11.25" thickBot="1">
      <c r="A10" s="225" t="s">
        <v>300</v>
      </c>
      <c r="B10" s="214" t="s">
        <v>7</v>
      </c>
      <c r="C10" s="109">
        <f>'Beta completa'!D144</f>
        <v>1000.0000000000007</v>
      </c>
      <c r="D10" s="109">
        <f>'Beta completa'!E144</f>
        <v>1000.000000000001</v>
      </c>
      <c r="E10" s="109">
        <f>'Beta completa'!F144</f>
        <v>1100.000000000001</v>
      </c>
      <c r="F10" s="221">
        <f>'Beta completa'!G144</f>
        <v>1100.0000000000011</v>
      </c>
      <c r="G10" s="109">
        <f>'Beta completa'!H144</f>
        <v>1133.0000000000011</v>
      </c>
      <c r="H10" s="109">
        <f>'Beta completa'!I144</f>
        <v>1166.9900000000014</v>
      </c>
      <c r="I10" s="109">
        <f>'Beta completa'!J144</f>
        <v>1201.9997000000017</v>
      </c>
    </row>
    <row r="11" spans="1:9" s="113" customFormat="1" ht="13.5">
      <c r="A11" s="223" t="s">
        <v>301</v>
      </c>
      <c r="B11" s="82" t="s">
        <v>8</v>
      </c>
      <c r="C11" s="84">
        <f>'Beta completa'!D176</f>
        <v>2343.628125116174</v>
      </c>
      <c r="D11" s="84">
        <f>'Beta completa'!E176</f>
        <v>2417.55465637663</v>
      </c>
      <c r="E11" s="84">
        <f>'Beta completa'!F176</f>
        <v>2768.1345754505264</v>
      </c>
      <c r="F11" s="43">
        <f>'Beta completa'!G176</f>
        <v>2845.3666872410736</v>
      </c>
      <c r="G11" s="84">
        <f>'Beta completa'!H176</f>
        <v>2930.5196890927705</v>
      </c>
      <c r="H11" s="84">
        <f>'Beta completa'!I176</f>
        <v>3018.20156111112</v>
      </c>
      <c r="I11" s="84">
        <f>'Beta completa'!J176</f>
        <v>3108.7476079444546</v>
      </c>
    </row>
    <row r="12" spans="1:9" s="113" customFormat="1" ht="13.5">
      <c r="A12" s="223" t="s">
        <v>302</v>
      </c>
      <c r="B12" s="82" t="s">
        <v>9</v>
      </c>
      <c r="C12" s="213">
        <f>'Beta completa'!D172</f>
        <v>0.08615980030980645</v>
      </c>
      <c r="D12" s="213">
        <f>'Beta completa'!E172</f>
        <v>0.08627722997853998</v>
      </c>
      <c r="E12" s="213">
        <f>'Beta completa'!F172</f>
        <v>0.08642358428387148</v>
      </c>
      <c r="F12" s="220">
        <f>'Beta completa'!G172</f>
        <v>0.0865206593426455</v>
      </c>
      <c r="G12" s="213">
        <f>'Beta completa'!H172</f>
        <v>0.08652041239035088</v>
      </c>
      <c r="H12" s="213">
        <f>'Beta completa'!I172</f>
        <v>0.0865201429436232</v>
      </c>
      <c r="I12" s="213">
        <f>'Beta completa'!J172</f>
        <v>0.0865201429436232</v>
      </c>
    </row>
    <row r="13" spans="1:9" s="113" customFormat="1" ht="11.25" thickBot="1">
      <c r="A13" s="226"/>
      <c r="B13" s="91" t="s">
        <v>10</v>
      </c>
      <c r="C13" s="144">
        <f>'Beta completa'!D177</f>
        <v>1343.6281251161734</v>
      </c>
      <c r="D13" s="144">
        <f>'Beta completa'!E177</f>
        <v>1417.5546563766293</v>
      </c>
      <c r="E13" s="144">
        <f>'Beta completa'!F177</f>
        <v>1668.1345754505255</v>
      </c>
      <c r="F13" s="145">
        <f>'Beta completa'!G177</f>
        <v>1745.3666872410724</v>
      </c>
      <c r="G13" s="144">
        <f>'Beta completa'!H177</f>
        <v>1797.5196890927693</v>
      </c>
      <c r="H13" s="144">
        <f>'Beta completa'!I177</f>
        <v>1851.2115611111187</v>
      </c>
      <c r="I13" s="144">
        <f>'Beta completa'!J177</f>
        <v>1906.747907944453</v>
      </c>
    </row>
    <row r="14" spans="1:9" ht="10.5">
      <c r="A14" s="223"/>
      <c r="B14" s="215" t="s">
        <v>313</v>
      </c>
      <c r="C14" s="3">
        <f>'Beta completa'!D151</f>
        <v>452.6606740080724</v>
      </c>
      <c r="D14" s="3">
        <f>'Beta completa'!E151</f>
        <v>466.4001346687989</v>
      </c>
      <c r="E14" s="3">
        <f>'Beta completa'!F151</f>
        <v>481.376146788991</v>
      </c>
      <c r="F14" s="43">
        <f>'Beta completa'!G151</f>
        <v>495.00000000000017</v>
      </c>
      <c r="G14" s="3">
        <f>'Beta completa'!H151</f>
        <v>509.8500000000002</v>
      </c>
      <c r="H14" s="3">
        <f>'Beta completa'!I151</f>
        <v>525.1455000000002</v>
      </c>
      <c r="I14" s="3">
        <f>'Beta completa'!J151</f>
        <v>540.8998650000003</v>
      </c>
    </row>
    <row r="15" spans="1:9" s="113" customFormat="1" ht="10.5">
      <c r="A15" s="223" t="s">
        <v>303</v>
      </c>
      <c r="B15" s="227" t="s">
        <v>11</v>
      </c>
      <c r="C15" s="84">
        <f>'Beta completa'!D137</f>
        <v>1890.9674511081007</v>
      </c>
      <c r="D15" s="84">
        <f>'Beta completa'!E137</f>
        <v>1951.15452170783</v>
      </c>
      <c r="E15" s="84">
        <f>'Beta completa'!F137</f>
        <v>2286.7584286615347</v>
      </c>
      <c r="F15" s="43">
        <f>'Beta completa'!G137</f>
        <v>2350.3666872410736</v>
      </c>
      <c r="G15" s="84">
        <f>'Beta completa'!H137</f>
        <v>2420.6696890927697</v>
      </c>
      <c r="H15" s="84">
        <f>'Beta completa'!I137</f>
        <v>2493.05606111112</v>
      </c>
      <c r="I15" s="84">
        <f>'Beta completa'!J137</f>
        <v>2567.8477429444542</v>
      </c>
    </row>
    <row r="16" spans="1:9" ht="10.5">
      <c r="A16" s="223" t="s">
        <v>304</v>
      </c>
      <c r="B16" s="215" t="s">
        <v>12</v>
      </c>
      <c r="C16" s="3">
        <f>'Beta completa'!D152</f>
        <v>2343.628125116173</v>
      </c>
      <c r="D16" s="3">
        <f>'Beta completa'!E152</f>
        <v>2417.554656376629</v>
      </c>
      <c r="E16" s="3">
        <f>'Beta completa'!F152</f>
        <v>2768.1345754505255</v>
      </c>
      <c r="F16" s="43">
        <f>'Beta completa'!G152</f>
        <v>2845.3666872410736</v>
      </c>
      <c r="G16" s="3">
        <f>'Beta completa'!H152</f>
        <v>2930.51968909277</v>
      </c>
      <c r="H16" s="3">
        <f>'Beta completa'!I152</f>
        <v>3018.20156111112</v>
      </c>
      <c r="I16" s="3">
        <f>'Beta completa'!J152</f>
        <v>3108.7476079444546</v>
      </c>
    </row>
    <row r="17" spans="1:9" ht="11.25" thickBot="1">
      <c r="A17" s="224"/>
      <c r="B17" s="91" t="s">
        <v>13</v>
      </c>
      <c r="C17" s="144">
        <f>'Beta completa'!D153</f>
        <v>1343.6281251161724</v>
      </c>
      <c r="D17" s="144">
        <f>'Beta completa'!E153</f>
        <v>1417.554656376628</v>
      </c>
      <c r="E17" s="144">
        <f>'Beta completa'!F153</f>
        <v>1668.1345754505246</v>
      </c>
      <c r="F17" s="145">
        <f>'Beta completa'!G153</f>
        <v>1745.3666872410724</v>
      </c>
      <c r="G17" s="144">
        <f>'Beta completa'!H153</f>
        <v>1797.5196890927689</v>
      </c>
      <c r="H17" s="144">
        <f>'Beta completa'!I153</f>
        <v>1851.2115611111187</v>
      </c>
      <c r="I17" s="144">
        <f>'Beta completa'!J153</f>
        <v>1906.747907944453</v>
      </c>
    </row>
    <row r="18" spans="1:9" ht="10.5">
      <c r="A18" s="223" t="s">
        <v>305</v>
      </c>
      <c r="B18" s="82" t="s">
        <v>14</v>
      </c>
      <c r="C18" s="3">
        <f>'Beta completa'!D206</f>
        <v>2343.6281251161727</v>
      </c>
      <c r="D18" s="3">
        <f>'Beta completa'!E206</f>
        <v>2417.5546563766284</v>
      </c>
      <c r="E18" s="3">
        <f>'Beta completa'!F206</f>
        <v>2768.1345754505255</v>
      </c>
      <c r="F18" s="43">
        <f>'Beta completa'!G206</f>
        <v>2845.3666872410727</v>
      </c>
      <c r="G18" s="3">
        <f>'Beta completa'!H206</f>
        <v>2930.5196890927696</v>
      </c>
      <c r="H18" s="3">
        <f>'Beta completa'!I206</f>
        <v>3018.2015611111196</v>
      </c>
      <c r="I18" s="3">
        <f>'Beta completa'!J206</f>
        <v>3108.7476079444536</v>
      </c>
    </row>
    <row r="19" spans="1:9" ht="10.5">
      <c r="A19" s="223" t="s">
        <v>306</v>
      </c>
      <c r="B19" s="82" t="s">
        <v>15</v>
      </c>
      <c r="C19" s="3"/>
      <c r="D19" s="3">
        <f>'Beta completa'!E194</f>
        <v>137.00000000000003</v>
      </c>
      <c r="E19" s="3">
        <f>'Beta completa'!F194</f>
        <v>-133.00000000000003</v>
      </c>
      <c r="F19" s="43">
        <f>'Beta completa'!G194</f>
        <v>171.89999999999998</v>
      </c>
      <c r="G19" s="3">
        <f>'Beta completa'!H194</f>
        <v>170.93000000000004</v>
      </c>
      <c r="H19" s="3">
        <f>'Beta completa'!I194</f>
        <v>176.06489999999965</v>
      </c>
      <c r="I19" s="3">
        <f>'Beta completa'!J194</f>
        <v>181.09209366666644</v>
      </c>
    </row>
    <row r="20" spans="1:9" ht="11.25" thickBot="1">
      <c r="A20" s="224"/>
      <c r="B20" s="91" t="s">
        <v>16</v>
      </c>
      <c r="C20" s="144">
        <f>'Beta completa'!D207</f>
        <v>1343.628125116172</v>
      </c>
      <c r="D20" s="144">
        <f>'Beta completa'!E207</f>
        <v>1417.5546563766275</v>
      </c>
      <c r="E20" s="144">
        <f>'Beta completa'!F207</f>
        <v>1668.1345754505246</v>
      </c>
      <c r="F20" s="145">
        <f>'Beta completa'!G207</f>
        <v>1745.3666872410715</v>
      </c>
      <c r="G20" s="144">
        <f>'Beta completa'!H207</f>
        <v>1797.5196890927684</v>
      </c>
      <c r="H20" s="144">
        <f>'Beta completa'!I207</f>
        <v>1851.2115611111183</v>
      </c>
      <c r="I20" s="144">
        <f>'Beta completa'!J207</f>
        <v>1906.747907944452</v>
      </c>
    </row>
    <row r="21" spans="1:9" ht="10.5">
      <c r="A21" s="223" t="s">
        <v>307</v>
      </c>
      <c r="B21" s="217" t="s">
        <v>17</v>
      </c>
      <c r="C21" s="216">
        <f>'Beta completa'!D200</f>
        <v>1343.6281251161727</v>
      </c>
      <c r="D21" s="216">
        <f>'Beta completa'!E200</f>
        <v>1417.5546563766281</v>
      </c>
      <c r="E21" s="216">
        <f>'Beta completa'!F200</f>
        <v>1668.1345754505248</v>
      </c>
      <c r="F21" s="149">
        <f>'Beta completa'!G200</f>
        <v>1745.3666872410724</v>
      </c>
      <c r="G21" s="216">
        <f>'Beta completa'!H200</f>
        <v>1797.5196890927689</v>
      </c>
      <c r="H21" s="216">
        <f>'Beta completa'!I200</f>
        <v>1851.2115611111187</v>
      </c>
      <c r="I21" s="216">
        <f>'Beta completa'!J200</f>
        <v>1906.747907944453</v>
      </c>
    </row>
    <row r="22" spans="1:9" ht="11.25" thickBot="1">
      <c r="A22" s="224" t="s">
        <v>308</v>
      </c>
      <c r="B22" s="78" t="s">
        <v>18</v>
      </c>
      <c r="C22" s="109"/>
      <c r="D22" s="109">
        <f>'Beta completa'!E193</f>
        <v>46.99999999999999</v>
      </c>
      <c r="E22" s="109">
        <f>'Beta completa'!F193</f>
        <v>-123.00000000000003</v>
      </c>
      <c r="F22" s="221">
        <f>'Beta completa'!G193</f>
        <v>72.89999999999998</v>
      </c>
      <c r="G22" s="109">
        <f>'Beta completa'!H193</f>
        <v>104.92999999999999</v>
      </c>
      <c r="H22" s="109">
        <f>'Beta completa'!I193</f>
        <v>108.08489999999964</v>
      </c>
      <c r="I22" s="109">
        <f>'Beta completa'!J193</f>
        <v>111.0726936666665</v>
      </c>
    </row>
    <row r="23" spans="1:9" ht="10.5">
      <c r="A23" s="223" t="s">
        <v>309</v>
      </c>
      <c r="B23" s="218" t="s">
        <v>19</v>
      </c>
      <c r="C23" s="3"/>
      <c r="D23" s="3">
        <f>'Beta completa'!E179</f>
        <v>-7.629324518779555</v>
      </c>
      <c r="E23" s="3">
        <f>'Beta completa'!F179</f>
        <v>25.041329089004677</v>
      </c>
      <c r="F23" s="43">
        <f>'Beta completa'!G179</f>
        <v>29.632528430232924</v>
      </c>
      <c r="G23" s="3">
        <f>'Beta completa'!H179</f>
        <v>30.627395215234486</v>
      </c>
      <c r="H23" s="3">
        <f>'Beta completa'!I179</f>
        <v>31.551119092075254</v>
      </c>
      <c r="I23" s="3">
        <f>'Beta completa'!J179</f>
        <v>32.24054135777433</v>
      </c>
    </row>
    <row r="24" spans="1:9" ht="10.5">
      <c r="A24" s="223"/>
      <c r="B24" s="82" t="s">
        <v>20</v>
      </c>
      <c r="C24" s="3">
        <f>'Beta completa'!D184</f>
        <v>343.6281251161689</v>
      </c>
      <c r="D24" s="3">
        <f>'Beta completa'!E184</f>
        <v>387.55465637662405</v>
      </c>
      <c r="E24" s="3">
        <f>'Beta completa'!F184</f>
        <v>403.1345754505201</v>
      </c>
      <c r="F24" s="43">
        <f>'Beta completa'!G184</f>
        <v>415.3666872410669</v>
      </c>
      <c r="G24" s="3">
        <f>'Beta completa'!H184</f>
        <v>427.6196890927629</v>
      </c>
      <c r="H24" s="3">
        <f>'Beta completa'!I184</f>
        <v>440.2145611111116</v>
      </c>
      <c r="I24" s="3">
        <f>'Beta completa'!J184</f>
        <v>453.420997944445</v>
      </c>
    </row>
    <row r="25" spans="1:9" ht="11.25" thickBot="1">
      <c r="A25" s="224" t="s">
        <v>310</v>
      </c>
      <c r="B25" s="91" t="s">
        <v>21</v>
      </c>
      <c r="C25" s="144">
        <f>'Beta completa'!D185</f>
        <v>1343.628125116169</v>
      </c>
      <c r="D25" s="144">
        <f>'Beta completa'!E185</f>
        <v>1417.554656376624</v>
      </c>
      <c r="E25" s="144">
        <f>'Beta completa'!F185</f>
        <v>1668.13457545052</v>
      </c>
      <c r="F25" s="145">
        <f>'Beta completa'!G185</f>
        <v>1745.366687241067</v>
      </c>
      <c r="G25" s="144">
        <f>'Beta completa'!H185</f>
        <v>1797.519689092763</v>
      </c>
      <c r="H25" s="144">
        <f>'Beta completa'!I185</f>
        <v>1851.211561111112</v>
      </c>
      <c r="I25" s="144">
        <f>'Beta completa'!J185</f>
        <v>1906.7479079444452</v>
      </c>
    </row>
    <row r="26" spans="1:9" ht="10.5">
      <c r="A26" s="223" t="s">
        <v>311</v>
      </c>
      <c r="B26" s="82" t="s">
        <v>22</v>
      </c>
      <c r="C26" s="3"/>
      <c r="D26" s="3">
        <f>'Beta completa'!E180</f>
        <v>-16.95880185883874</v>
      </c>
      <c r="E26" s="3">
        <f>'Beta completa'!F180</f>
        <v>14.971669430691492</v>
      </c>
      <c r="F26" s="43">
        <f>'Beta completa'!G180</f>
        <v>19.724669505931786</v>
      </c>
      <c r="G26" s="3">
        <f>'Beta completa'!H180</f>
        <v>20.794393392114415</v>
      </c>
      <c r="H26" s="3">
        <f>'Beta completa'!I180</f>
        <v>21.42707948457226</v>
      </c>
      <c r="I26" s="3">
        <f>'Beta completa'!J180</f>
        <v>21.817222426259576</v>
      </c>
    </row>
    <row r="27" spans="1:9" ht="10.5">
      <c r="A27" s="223"/>
      <c r="B27" s="82" t="s">
        <v>23</v>
      </c>
      <c r="C27" s="3">
        <f>'Beta completa'!D189</f>
        <v>343.6281251161651</v>
      </c>
      <c r="D27" s="3">
        <f>'Beta completa'!E189</f>
        <v>387.55465637662013</v>
      </c>
      <c r="E27" s="3">
        <f>'Beta completa'!F189</f>
        <v>403.13457545051597</v>
      </c>
      <c r="F27" s="43">
        <f>'Beta completa'!G189</f>
        <v>415.3666872410626</v>
      </c>
      <c r="G27" s="3">
        <f>'Beta completa'!H189</f>
        <v>427.61968909275834</v>
      </c>
      <c r="H27" s="3">
        <f>'Beta completa'!I189</f>
        <v>440.21456111110683</v>
      </c>
      <c r="I27" s="3">
        <f>'Beta completa'!J189</f>
        <v>453.42099794443993</v>
      </c>
    </row>
    <row r="28" spans="1:9" ht="11.25" thickBot="1">
      <c r="A28" s="224" t="s">
        <v>312</v>
      </c>
      <c r="B28" s="78" t="s">
        <v>24</v>
      </c>
      <c r="C28" s="144">
        <f>'Beta completa'!D190</f>
        <v>1343.6281251161645</v>
      </c>
      <c r="D28" s="144">
        <f>'Beta completa'!E190</f>
        <v>1417.5546563766193</v>
      </c>
      <c r="E28" s="144">
        <f>'Beta completa'!F190</f>
        <v>1668.134575450515</v>
      </c>
      <c r="F28" s="145">
        <f>'Beta completa'!G190</f>
        <v>1745.3666872410615</v>
      </c>
      <c r="G28" s="144">
        <f>'Beta completa'!H190</f>
        <v>1797.5196890927573</v>
      </c>
      <c r="H28" s="144">
        <f>'Beta completa'!I190</f>
        <v>1851.2115611111058</v>
      </c>
      <c r="I28" s="144">
        <f>'Beta completa'!J190</f>
        <v>1906.7479079444386</v>
      </c>
    </row>
    <row r="29" spans="1:9" ht="10.5">
      <c r="A29" s="223"/>
      <c r="B29" s="82"/>
      <c r="C29" s="3"/>
      <c r="D29" s="3"/>
      <c r="E29" s="3"/>
      <c r="F29" s="43"/>
      <c r="G29" s="3"/>
      <c r="H29" s="3"/>
      <c r="I29" s="3"/>
    </row>
    <row r="30" spans="1:9" ht="11.25" thickBot="1">
      <c r="A30" s="224"/>
      <c r="B30" s="78"/>
      <c r="C30" s="144"/>
      <c r="D30" s="144"/>
      <c r="E30" s="144"/>
      <c r="F30" s="145"/>
      <c r="G30" s="144"/>
      <c r="H30" s="144"/>
      <c r="I30" s="144"/>
    </row>
    <row r="31" ht="10.5">
      <c r="A31"/>
    </row>
    <row r="32" ht="10.5">
      <c r="A32"/>
    </row>
    <row r="33" ht="10.5">
      <c r="A33"/>
    </row>
    <row r="34" ht="10.5">
      <c r="A34"/>
    </row>
    <row r="35" ht="10.5">
      <c r="A35"/>
    </row>
    <row r="36" spans="2:9" ht="10.5">
      <c r="B36" s="208" t="s">
        <v>25</v>
      </c>
      <c r="C36" s="212">
        <f>'Beta completa'!D208</f>
        <v>0</v>
      </c>
      <c r="D36" s="212">
        <f>'Beta completa'!E208</f>
        <v>-18.74800082594632</v>
      </c>
      <c r="E36" s="212">
        <f>'Beta completa'!F208</f>
        <v>284.3834394918316</v>
      </c>
      <c r="F36" s="212">
        <f>'Beta completa'!G208</f>
        <v>-12.407754611564911</v>
      </c>
      <c r="G36" s="212">
        <f>'Beta completa'!H208</f>
        <v>-10.799557482104433</v>
      </c>
      <c r="H36" s="212">
        <f>'Beta completa'!I208</f>
        <v>-13.509636023867046</v>
      </c>
      <c r="I36" s="212">
        <f>'Beta completa'!J208</f>
        <v>-16.300875409384275</v>
      </c>
    </row>
    <row r="37" spans="2:9" ht="10.5">
      <c r="B37" s="208" t="s">
        <v>26</v>
      </c>
      <c r="C37" s="212">
        <f>'Beta completa'!D209</f>
        <v>0</v>
      </c>
      <c r="D37" s="212">
        <f>'Beta completa'!E209</f>
        <v>8</v>
      </c>
      <c r="E37" s="212">
        <f>'Beta completa'!F209</f>
        <v>6.4</v>
      </c>
      <c r="F37" s="212">
        <f>'Beta completa'!G209</f>
        <v>6.851851851851852</v>
      </c>
      <c r="G37" s="212">
        <f>'Beta completa'!H209</f>
        <v>6.760158216468896</v>
      </c>
      <c r="H37" s="212">
        <f>'Beta completa'!I209</f>
        <v>6.760158216468896</v>
      </c>
      <c r="I37" s="212">
        <f>'Beta completa'!J209</f>
        <v>6.760158216468896</v>
      </c>
    </row>
    <row r="38" spans="2:9" ht="10.5">
      <c r="B38" s="208" t="s">
        <v>27</v>
      </c>
      <c r="C38" s="212">
        <f>'Beta completa'!D210</f>
        <v>1600</v>
      </c>
      <c r="D38" s="212">
        <f>'Beta completa'!E210</f>
        <v>1648.7480008259463</v>
      </c>
      <c r="E38" s="212">
        <f>'Beta completa'!F210</f>
        <v>1946.999610636046</v>
      </c>
      <c r="F38" s="212">
        <f>'Beta completa'!G210</f>
        <v>2033.400615741933</v>
      </c>
      <c r="G38" s="212">
        <f>'Beta completa'!H210</f>
        <v>2147.2447204748187</v>
      </c>
      <c r="H38" s="212">
        <f>'Beta completa'!I210</f>
        <v>2264.5036548691137</v>
      </c>
      <c r="I38" s="212">
        <f>'Beta completa'!J210</f>
        <v>2385.279802710297</v>
      </c>
    </row>
    <row r="39" spans="2:9" ht="10.5">
      <c r="B39" s="82" t="s">
        <v>28</v>
      </c>
      <c r="C39" s="212">
        <f>'Beta completa'!D211</f>
        <v>0</v>
      </c>
      <c r="D39" s="212">
        <f>'Beta completa'!E211</f>
        <v>151.25199917405368</v>
      </c>
      <c r="E39" s="212">
        <f>'Beta completa'!F211</f>
        <v>201.74839018990025</v>
      </c>
      <c r="F39" s="212">
        <f>'Beta completa'!G211</f>
        <v>213.59899489411296</v>
      </c>
      <c r="G39" s="212">
        <f>'Beta completa'!H211</f>
        <v>220.65589526711452</v>
      </c>
      <c r="H39" s="212">
        <f>'Beta completa'!I211</f>
        <v>227.2760656057053</v>
      </c>
      <c r="I39" s="212">
        <f>'Beta completa'!J211</f>
        <v>234.0949021588165</v>
      </c>
    </row>
    <row r="40" spans="2:9" ht="10.5">
      <c r="B40" s="82" t="s">
        <v>29</v>
      </c>
      <c r="C40" s="212">
        <f>'Beta completa'!D212</f>
        <v>0</v>
      </c>
      <c r="D40" s="212">
        <f>'Beta completa'!E212</f>
        <v>151.25199917405368</v>
      </c>
      <c r="E40" s="212">
        <f>'Beta completa'!F212</f>
        <v>353.0003893639539</v>
      </c>
      <c r="F40" s="212">
        <f>'Beta completa'!G212</f>
        <v>566.5993842580668</v>
      </c>
      <c r="G40" s="212">
        <f>'Beta completa'!H212</f>
        <v>787.2552795251813</v>
      </c>
      <c r="H40" s="212">
        <f>'Beta completa'!I212</f>
        <v>1014.5313451308866</v>
      </c>
      <c r="I40" s="212">
        <f>'Beta completa'!J212</f>
        <v>1248.626247289703</v>
      </c>
    </row>
    <row r="41" spans="2:9" ht="10.5">
      <c r="B41" s="47" t="s">
        <v>30</v>
      </c>
      <c r="C41" s="212">
        <f>'Beta completa'!D214</f>
        <v>0</v>
      </c>
      <c r="D41" s="212">
        <f>'Beta completa'!E214</f>
        <v>1.7891989671075805</v>
      </c>
      <c r="E41" s="212">
        <f>'Beta completa'!F214</f>
        <v>-269.41177006114015</v>
      </c>
      <c r="F41" s="212">
        <f>'Beta completa'!G214</f>
        <v>32.1324241174967</v>
      </c>
      <c r="G41" s="212">
        <f>'Beta completa'!H214</f>
        <v>31.593950874218848</v>
      </c>
      <c r="H41" s="212">
        <f>'Beta completa'!I214</f>
        <v>34.936715508439306</v>
      </c>
      <c r="I41" s="212">
        <f>'Beta completa'!J214</f>
        <v>38.11809783564385</v>
      </c>
    </row>
    <row r="42" spans="2:9" ht="10.5">
      <c r="B42" s="66"/>
      <c r="C42" s="212">
        <f>'Beta completa'!D215</f>
        <v>0</v>
      </c>
      <c r="D42" s="212">
        <f>'Beta completa'!E215</f>
        <v>-16.95880185883874</v>
      </c>
      <c r="E42" s="212">
        <f>'Beta completa'!F215</f>
        <v>14.971669430691492</v>
      </c>
      <c r="F42" s="212">
        <f>'Beta completa'!G215</f>
        <v>19.724669505931786</v>
      </c>
      <c r="G42" s="212">
        <f>'Beta completa'!H215</f>
        <v>20.794393392114415</v>
      </c>
      <c r="H42" s="212">
        <f>'Beta completa'!I215</f>
        <v>21.42707948457226</v>
      </c>
      <c r="I42" s="212">
        <f>'Beta completa'!J215</f>
        <v>21.817222426259576</v>
      </c>
    </row>
    <row r="43" spans="2:9" ht="10.5">
      <c r="B43" s="66" t="s">
        <v>31</v>
      </c>
      <c r="C43" s="212">
        <f>'Beta completa'!D216</f>
        <v>1</v>
      </c>
      <c r="D43" s="212">
        <f>'Beta completa'!E216</f>
        <v>0.9272314326432318</v>
      </c>
      <c r="E43" s="212">
        <f>'Beta completa'!F216</f>
        <v>0.8594773784394164</v>
      </c>
      <c r="F43" s="212">
        <f>'Beta completa'!G216</f>
        <v>0.7963501060030885</v>
      </c>
      <c r="G43" s="212">
        <f>'Beta completa'!H216</f>
        <v>0.7376603865373267</v>
      </c>
      <c r="H43" s="212">
        <f>'Beta completa'!I216</f>
        <v>0.6832964737325475</v>
      </c>
      <c r="I43" s="212">
        <f>'Beta completa'!J216</f>
        <v>0.6329395330584101</v>
      </c>
    </row>
    <row r="44" spans="2:9" ht="10.5">
      <c r="B44" s="26" t="s">
        <v>32</v>
      </c>
      <c r="C44" s="212">
        <f>'Beta completa'!D217</f>
        <v>0</v>
      </c>
      <c r="D44" s="212">
        <f>'Beta completa'!E217</f>
        <v>1.6590015215549525</v>
      </c>
      <c r="E44" s="212">
        <f>'Beta completa'!F217</f>
        <v>-231.5533218528716</v>
      </c>
      <c r="F44" s="212">
        <f>'Beta completa'!G217</f>
        <v>25.588659352104692</v>
      </c>
      <c r="G44" s="212">
        <f>'Beta completa'!H217</f>
        <v>23.305606014117586</v>
      </c>
      <c r="H44" s="212">
        <f>'Beta completa'!I217</f>
        <v>23.872134510713785</v>
      </c>
      <c r="I44" s="212">
        <f>'Beta completa'!J217</f>
        <v>24.12645104516721</v>
      </c>
    </row>
    <row r="45" spans="2:9" ht="10.5">
      <c r="B45" s="51" t="s">
        <v>33</v>
      </c>
      <c r="C45" s="212">
        <f>'Beta completa'!D218</f>
        <v>499.9471477942424</v>
      </c>
      <c r="D45" s="212">
        <f>'Beta completa'!E218</f>
        <v>537.393501482399</v>
      </c>
      <c r="E45" s="212">
        <f>'Beta completa'!F218</f>
        <v>849.1689094258169</v>
      </c>
      <c r="F45" s="212">
        <f>'Beta completa'!G218</f>
        <v>884.3507440566895</v>
      </c>
      <c r="G45" s="212">
        <f>'Beta completa'!H218</f>
        <v>923.1174876500978</v>
      </c>
      <c r="H45" s="212">
        <f>'Beta completa'!I218</f>
        <v>961.6251415133343</v>
      </c>
      <c r="I45" s="212">
        <f>'Beta completa'!J218</f>
        <v>1000.014352311037</v>
      </c>
    </row>
    <row r="46" spans="2:9" ht="11.25" thickBot="1">
      <c r="B46" s="91"/>
      <c r="C46" s="212">
        <f>'Beta completa'!D219</f>
        <v>1499.9471477942418</v>
      </c>
      <c r="D46" s="212">
        <f>'Beta completa'!E219</f>
        <v>1567.3935014823978</v>
      </c>
      <c r="E46" s="212">
        <f>'Beta completa'!F219</f>
        <v>2114.168909425816</v>
      </c>
      <c r="F46" s="212">
        <f>'Beta completa'!G219</f>
        <v>2214.350744056688</v>
      </c>
      <c r="G46" s="212">
        <f>'Beta completa'!H219</f>
        <v>2293.017487650097</v>
      </c>
      <c r="H46" s="212">
        <f>'Beta completa'!I219</f>
        <v>2372.622141513333</v>
      </c>
      <c r="I46" s="212">
        <f>'Beta completa'!J219</f>
        <v>2453.3412623110353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3"/>
  <sheetViews>
    <sheetView tabSelected="1" zoomScalePageLayoutView="0" workbookViewId="0" topLeftCell="B1">
      <pane xSplit="7065" ySplit="1500" topLeftCell="A38" activePane="bottomRight" state="split"/>
      <selection pane="topLeft" activeCell="E255" sqref="A1:IV16384"/>
      <selection pane="topRight" activeCell="C1" sqref="C1:F8"/>
      <selection pane="bottomLeft" activeCell="B456" sqref="A456:IV456"/>
      <selection pane="bottomRight" activeCell="C456" sqref="C456:I472"/>
    </sheetView>
  </sheetViews>
  <sheetFormatPr defaultColWidth="11.00390625" defaultRowHeight="12"/>
  <cols>
    <col min="1" max="1" width="4.375" style="19" customWidth="1"/>
    <col min="2" max="2" width="8.75390625" style="4" customWidth="1"/>
    <col min="3" max="3" width="20.625" style="4" customWidth="1"/>
    <col min="4" max="6" width="10.00390625" style="4" customWidth="1"/>
    <col min="7" max="7" width="10.00390625" style="39" customWidth="1"/>
    <col min="8" max="8" width="11.00390625" style="4" customWidth="1"/>
    <col min="9" max="9" width="11.25390625" style="4" customWidth="1"/>
    <col min="10" max="11" width="10.25390625" style="0" customWidth="1"/>
    <col min="12" max="16" width="10.00390625" style="0" customWidth="1"/>
    <col min="17" max="17" width="11.25390625" style="0" customWidth="1"/>
    <col min="18" max="23" width="11.00390625" style="82" customWidth="1"/>
    <col min="24" max="16384" width="11.00390625" style="4" customWidth="1"/>
  </cols>
  <sheetData>
    <row r="1" spans="1:9" ht="16.5" thickBot="1">
      <c r="A1" s="20"/>
      <c r="B1" s="27"/>
      <c r="C1" s="153" t="s">
        <v>34</v>
      </c>
      <c r="D1" s="154">
        <v>1</v>
      </c>
      <c r="E1" s="160" t="s">
        <v>35</v>
      </c>
      <c r="F1" s="161">
        <f>H6</f>
        <v>0.3</v>
      </c>
      <c r="G1" s="32"/>
      <c r="H1" s="16"/>
      <c r="I1" s="134" t="s">
        <v>36</v>
      </c>
    </row>
    <row r="2" spans="1:9" ht="12" customHeight="1" thickBot="1">
      <c r="A2" s="20"/>
      <c r="B2" s="27"/>
      <c r="C2" s="155" t="s">
        <v>37</v>
      </c>
      <c r="D2" s="156">
        <v>0.05</v>
      </c>
      <c r="E2"/>
      <c r="F2" s="10"/>
      <c r="G2" s="32"/>
      <c r="H2" s="16"/>
      <c r="I2" s="21"/>
    </row>
    <row r="3" spans="1:15" ht="12" customHeight="1" thickBot="1">
      <c r="A3" s="20"/>
      <c r="B3" s="27"/>
      <c r="C3" s="155" t="s">
        <v>38</v>
      </c>
      <c r="D3" s="156">
        <v>0.04</v>
      </c>
      <c r="E3"/>
      <c r="F3" s="10"/>
      <c r="G3" s="32"/>
      <c r="H3" s="16"/>
      <c r="I3" s="21"/>
      <c r="L3" s="190"/>
      <c r="M3" s="191"/>
      <c r="N3" s="192" t="s">
        <v>39</v>
      </c>
      <c r="O3" s="193">
        <f>O8</f>
        <v>0.03</v>
      </c>
    </row>
    <row r="4" spans="1:8" ht="12" customHeight="1">
      <c r="A4" s="20"/>
      <c r="B4" s="27"/>
      <c r="C4" s="157"/>
      <c r="D4" s="156"/>
      <c r="E4" s="27"/>
      <c r="F4" s="10"/>
      <c r="G4" s="32"/>
      <c r="H4" s="16"/>
    </row>
    <row r="5" spans="1:8" ht="12" customHeight="1">
      <c r="A5" s="20"/>
      <c r="B5" s="27"/>
      <c r="C5" s="157"/>
      <c r="D5" s="156"/>
      <c r="E5" s="27"/>
      <c r="F5" s="10"/>
      <c r="G5" s="32"/>
      <c r="H5" s="16"/>
    </row>
    <row r="6" spans="1:8" ht="12" customHeight="1">
      <c r="A6" s="20"/>
      <c r="B6" s="27" t="s">
        <v>40</v>
      </c>
      <c r="C6" s="157">
        <f>D22</f>
        <v>1000</v>
      </c>
      <c r="D6" s="156"/>
      <c r="E6" s="27" t="s">
        <v>41</v>
      </c>
      <c r="F6" s="10">
        <f>O8</f>
        <v>0.03</v>
      </c>
      <c r="G6" s="32" t="s">
        <v>42</v>
      </c>
      <c r="H6" s="16">
        <v>0.3</v>
      </c>
    </row>
    <row r="7" spans="1:8" ht="12" customHeight="1" thickBot="1">
      <c r="A7" s="20"/>
      <c r="B7" s="27"/>
      <c r="C7" s="155" t="s">
        <v>43</v>
      </c>
      <c r="D7" s="156">
        <v>0.06</v>
      </c>
      <c r="E7" s="27"/>
      <c r="F7" s="10"/>
      <c r="G7" s="32"/>
      <c r="H7" s="16"/>
    </row>
    <row r="8" spans="1:15" ht="12" customHeight="1" thickBot="1">
      <c r="A8" s="20"/>
      <c r="B8" s="27"/>
      <c r="C8" s="158" t="s">
        <v>44</v>
      </c>
      <c r="D8" s="159">
        <v>0.06</v>
      </c>
      <c r="E8" s="27"/>
      <c r="F8" s="10"/>
      <c r="G8" s="32"/>
      <c r="H8" s="16"/>
      <c r="M8" s="38"/>
      <c r="N8" s="162" t="s">
        <v>45</v>
      </c>
      <c r="O8" s="163">
        <v>0.03</v>
      </c>
    </row>
    <row r="9" spans="1:17" ht="12" customHeight="1" thickBot="1">
      <c r="A9" s="20"/>
      <c r="B9"/>
      <c r="C9"/>
      <c r="D9" s="127">
        <v>0</v>
      </c>
      <c r="E9" s="127">
        <v>1</v>
      </c>
      <c r="F9" s="127">
        <f aca="true" t="shared" si="0" ref="F9:O9">E9+1</f>
        <v>2</v>
      </c>
      <c r="G9" s="137">
        <f t="shared" si="0"/>
        <v>3</v>
      </c>
      <c r="H9" s="127">
        <f t="shared" si="0"/>
        <v>4</v>
      </c>
      <c r="I9" s="127">
        <f t="shared" si="0"/>
        <v>5</v>
      </c>
      <c r="J9" s="127">
        <f t="shared" si="0"/>
        <v>6</v>
      </c>
      <c r="K9" s="127">
        <f t="shared" si="0"/>
        <v>7</v>
      </c>
      <c r="L9" s="127">
        <f t="shared" si="0"/>
        <v>8</v>
      </c>
      <c r="M9" s="137">
        <f t="shared" si="0"/>
        <v>9</v>
      </c>
      <c r="N9" s="127">
        <f t="shared" si="0"/>
        <v>10</v>
      </c>
      <c r="O9" s="127">
        <f t="shared" si="0"/>
        <v>11</v>
      </c>
      <c r="P9" s="127">
        <f>O9+1</f>
        <v>12</v>
      </c>
      <c r="Q9" s="127">
        <f>P9+1</f>
        <v>13</v>
      </c>
    </row>
    <row r="10" spans="1:17" ht="12" customHeight="1">
      <c r="A10" s="20">
        <v>1</v>
      </c>
      <c r="B10" s="26"/>
      <c r="C10" s="18" t="s">
        <v>46</v>
      </c>
      <c r="D10" s="35">
        <v>400</v>
      </c>
      <c r="E10" s="35">
        <v>430</v>
      </c>
      <c r="F10" s="35">
        <v>515</v>
      </c>
      <c r="G10" s="167">
        <v>550</v>
      </c>
      <c r="H10" s="3">
        <f aca="true" t="shared" si="1" ref="H10:M10">G10*(1+$O$8)</f>
        <v>566.5</v>
      </c>
      <c r="I10" s="3">
        <f t="shared" si="1"/>
        <v>583.495</v>
      </c>
      <c r="J10" s="3">
        <f t="shared" si="1"/>
        <v>600.99985</v>
      </c>
      <c r="K10" s="3">
        <f t="shared" si="1"/>
        <v>619.0298455000001</v>
      </c>
      <c r="L10" s="3">
        <f t="shared" si="1"/>
        <v>637.6007408650001</v>
      </c>
      <c r="M10" s="3">
        <f t="shared" si="1"/>
        <v>656.7287630909502</v>
      </c>
      <c r="N10" s="3">
        <f>M10*(1+$O$8)</f>
        <v>676.4306259836787</v>
      </c>
      <c r="O10" s="3">
        <f>N10*(1+$O$8)</f>
        <v>696.7235447631891</v>
      </c>
      <c r="P10" s="3">
        <f>O10*(1+$O$8)</f>
        <v>717.6252511060848</v>
      </c>
      <c r="Q10" s="3">
        <f>P10*(1+$O$8)</f>
        <v>739.1540086392673</v>
      </c>
    </row>
    <row r="11" spans="1:17" ht="12" customHeight="1" hidden="1">
      <c r="A11" s="20">
        <v>2</v>
      </c>
      <c r="B11" s="26"/>
      <c r="C11" s="18" t="s">
        <v>47</v>
      </c>
      <c r="D11" s="35"/>
      <c r="E11" s="35"/>
      <c r="F11" s="35"/>
      <c r="G11" s="167"/>
      <c r="H11" s="45"/>
      <c r="I11" s="45"/>
      <c r="J11" s="45"/>
      <c r="K11" s="45"/>
      <c r="L11" s="45"/>
      <c r="M11" s="45"/>
      <c r="N11" s="45"/>
      <c r="O11" s="45"/>
      <c r="P11" s="45"/>
      <c r="Q11" s="45"/>
    </row>
    <row r="12" spans="1:17" ht="12" customHeight="1" hidden="1">
      <c r="A12" s="20">
        <v>3</v>
      </c>
      <c r="B12" s="26"/>
      <c r="C12" s="18" t="s">
        <v>48</v>
      </c>
      <c r="D12" s="35"/>
      <c r="E12" s="35"/>
      <c r="F12" s="35"/>
      <c r="G12" s="167"/>
      <c r="H12" s="45"/>
      <c r="I12" s="45"/>
      <c r="J12" s="45"/>
      <c r="K12" s="45"/>
      <c r="L12" s="45"/>
      <c r="M12" s="45"/>
      <c r="N12" s="45"/>
      <c r="O12" s="45"/>
      <c r="P12" s="45"/>
      <c r="Q12" s="45"/>
    </row>
    <row r="13" spans="1:17" ht="12" customHeight="1" hidden="1">
      <c r="A13" s="20">
        <v>4</v>
      </c>
      <c r="B13" s="26"/>
      <c r="C13" s="18" t="s">
        <v>49</v>
      </c>
      <c r="D13" s="35"/>
      <c r="E13" s="35"/>
      <c r="F13" s="35"/>
      <c r="G13" s="167"/>
      <c r="H13" s="45"/>
      <c r="I13" s="45"/>
      <c r="J13" s="45"/>
      <c r="K13" s="45"/>
      <c r="L13" s="45"/>
      <c r="M13" s="45"/>
      <c r="N13" s="45"/>
      <c r="O13" s="45"/>
      <c r="P13" s="45"/>
      <c r="Q13" s="45"/>
    </row>
    <row r="14" spans="1:17" ht="12" customHeight="1">
      <c r="A14" s="20">
        <v>5</v>
      </c>
      <c r="B14" s="26"/>
      <c r="C14" s="18" t="s">
        <v>50</v>
      </c>
      <c r="D14" s="35">
        <v>1600</v>
      </c>
      <c r="E14" s="5">
        <v>1800</v>
      </c>
      <c r="F14" s="5">
        <v>2300</v>
      </c>
      <c r="G14" s="114">
        <v>2600</v>
      </c>
      <c r="H14" s="3">
        <f aca="true" t="shared" si="2" ref="H14:M14">H16+H15</f>
        <v>2934.5</v>
      </c>
      <c r="I14" s="3">
        <f t="shared" si="2"/>
        <v>3279.0350000000003</v>
      </c>
      <c r="J14" s="3">
        <f t="shared" si="2"/>
        <v>3633.9060500000005</v>
      </c>
      <c r="K14" s="3">
        <f t="shared" si="2"/>
        <v>3999.423231500001</v>
      </c>
      <c r="L14" s="3">
        <f t="shared" si="2"/>
        <v>4375.905928445</v>
      </c>
      <c r="M14" s="3">
        <f t="shared" si="2"/>
        <v>4763.683106298351</v>
      </c>
      <c r="N14" s="3">
        <f>N16+N15</f>
        <v>5163.093599487302</v>
      </c>
      <c r="O14" s="3">
        <f>O16+O15</f>
        <v>5574.486407471921</v>
      </c>
      <c r="P14" s="3">
        <f>P16+P15</f>
        <v>5998.220999696077</v>
      </c>
      <c r="Q14" s="3">
        <f>Q16+Q15</f>
        <v>6434.667629686961</v>
      </c>
    </row>
    <row r="15" spans="1:17" ht="12" customHeight="1">
      <c r="A15" s="20">
        <v>6</v>
      </c>
      <c r="B15" s="26"/>
      <c r="C15" s="18" t="s">
        <v>51</v>
      </c>
      <c r="D15" s="35"/>
      <c r="E15" s="5">
        <f aca="true" t="shared" si="3" ref="E15:N15">D15+E34</f>
        <v>200</v>
      </c>
      <c r="F15" s="5">
        <f t="shared" si="3"/>
        <v>450</v>
      </c>
      <c r="G15" s="114">
        <f t="shared" si="3"/>
        <v>720</v>
      </c>
      <c r="H15" s="3">
        <f t="shared" si="3"/>
        <v>998.1</v>
      </c>
      <c r="I15" s="3">
        <f t="shared" si="3"/>
        <v>1284.5430000000001</v>
      </c>
      <c r="J15" s="3">
        <f t="shared" si="3"/>
        <v>1579.5792900000001</v>
      </c>
      <c r="K15" s="3">
        <f t="shared" si="3"/>
        <v>1883.4666687000001</v>
      </c>
      <c r="L15" s="3">
        <f t="shared" si="3"/>
        <v>2196.470668761</v>
      </c>
      <c r="M15" s="3">
        <f t="shared" si="3"/>
        <v>2518.86478882383</v>
      </c>
      <c r="N15" s="3">
        <f t="shared" si="3"/>
        <v>2850.930732488545</v>
      </c>
      <c r="O15" s="3">
        <f>N15+O34</f>
        <v>3192.958654463201</v>
      </c>
      <c r="P15" s="3">
        <f>O15+P34</f>
        <v>3545.247414097097</v>
      </c>
      <c r="Q15" s="3">
        <f>P15+Q34</f>
        <v>3908.1048365200104</v>
      </c>
    </row>
    <row r="16" spans="1:17" ht="12" customHeight="1">
      <c r="A16" s="20">
        <v>7</v>
      </c>
      <c r="B16" s="26"/>
      <c r="C16" s="18" t="s">
        <v>52</v>
      </c>
      <c r="D16" s="35">
        <f>D14-D15</f>
        <v>1600</v>
      </c>
      <c r="E16" s="35">
        <f>E14-E15</f>
        <v>1600</v>
      </c>
      <c r="F16" s="35">
        <f>F14-F15</f>
        <v>1850</v>
      </c>
      <c r="G16" s="167">
        <f>G14-G15</f>
        <v>1880</v>
      </c>
      <c r="H16" s="45">
        <f aca="true" t="shared" si="4" ref="H16:Q16">G16*(1+$O3)</f>
        <v>1936.4</v>
      </c>
      <c r="I16" s="45">
        <f t="shared" si="4"/>
        <v>1994.4920000000002</v>
      </c>
      <c r="J16" s="45">
        <f t="shared" si="4"/>
        <v>2054.3267600000004</v>
      </c>
      <c r="K16" s="45">
        <f t="shared" si="4"/>
        <v>2115.9565628000005</v>
      </c>
      <c r="L16" s="45">
        <f t="shared" si="4"/>
        <v>2179.4352596840004</v>
      </c>
      <c r="M16" s="45">
        <f t="shared" si="4"/>
        <v>2244.8183174745204</v>
      </c>
      <c r="N16" s="45">
        <f t="shared" si="4"/>
        <v>2312.1628669987563</v>
      </c>
      <c r="O16" s="45">
        <f t="shared" si="4"/>
        <v>2381.527753008719</v>
      </c>
      <c r="P16" s="45">
        <f t="shared" si="4"/>
        <v>2452.9735855989807</v>
      </c>
      <c r="Q16" s="45">
        <f t="shared" si="4"/>
        <v>2526.56279316695</v>
      </c>
    </row>
    <row r="17" spans="1:17" ht="12" customHeight="1" hidden="1">
      <c r="A17" s="20">
        <v>8</v>
      </c>
      <c r="B17" s="26"/>
      <c r="C17" s="18" t="s">
        <v>53</v>
      </c>
      <c r="D17" s="35"/>
      <c r="E17" s="35"/>
      <c r="F17" s="35"/>
      <c r="G17" s="167"/>
      <c r="H17" s="57"/>
      <c r="I17" s="35"/>
      <c r="J17" s="34"/>
      <c r="K17" s="34"/>
      <c r="L17" s="45"/>
      <c r="M17" s="42"/>
      <c r="N17" s="45"/>
      <c r="O17" s="45"/>
      <c r="P17" s="45"/>
      <c r="Q17" s="45"/>
    </row>
    <row r="18" spans="1:23" s="51" customFormat="1" ht="12" customHeight="1">
      <c r="A18" s="54">
        <v>9</v>
      </c>
      <c r="B18" s="56"/>
      <c r="C18" s="146" t="s">
        <v>54</v>
      </c>
      <c r="D18" s="147">
        <f>D10+D11+D12+D13+D16+D17</f>
        <v>2000</v>
      </c>
      <c r="E18" s="147">
        <f aca="true" t="shared" si="5" ref="E18:Q18">E10+E11+E12+E13+E16+E17</f>
        <v>2030</v>
      </c>
      <c r="F18" s="147">
        <f t="shared" si="5"/>
        <v>2365</v>
      </c>
      <c r="G18" s="164">
        <f t="shared" si="5"/>
        <v>2430</v>
      </c>
      <c r="H18" s="200">
        <f t="shared" si="5"/>
        <v>2502.9</v>
      </c>
      <c r="I18" s="147">
        <f t="shared" si="5"/>
        <v>2577.987</v>
      </c>
      <c r="J18" s="147">
        <f t="shared" si="5"/>
        <v>2655.3266100000005</v>
      </c>
      <c r="K18" s="147">
        <f t="shared" si="5"/>
        <v>2734.9864083000007</v>
      </c>
      <c r="L18" s="147">
        <f t="shared" si="5"/>
        <v>2817.0360005490006</v>
      </c>
      <c r="M18" s="164">
        <f t="shared" si="5"/>
        <v>2901.5470805654704</v>
      </c>
      <c r="N18" s="147">
        <f t="shared" si="5"/>
        <v>2988.5934929824352</v>
      </c>
      <c r="O18" s="147">
        <f t="shared" si="5"/>
        <v>3078.2512977719084</v>
      </c>
      <c r="P18" s="147">
        <f t="shared" si="5"/>
        <v>3170.5988367050654</v>
      </c>
      <c r="Q18" s="147">
        <f t="shared" si="5"/>
        <v>3265.7168018062175</v>
      </c>
      <c r="R18" s="82"/>
      <c r="S18" s="82"/>
      <c r="T18" s="82"/>
      <c r="U18" s="82"/>
      <c r="V18" s="82"/>
      <c r="W18" s="82"/>
    </row>
    <row r="19" spans="1:17" ht="12" customHeight="1">
      <c r="A19" s="20"/>
      <c r="B19" s="27"/>
      <c r="C19" s="16"/>
      <c r="D19" s="62"/>
      <c r="E19" s="62"/>
      <c r="F19" s="62"/>
      <c r="G19" s="195"/>
      <c r="H19" s="23"/>
      <c r="I19" s="62"/>
      <c r="J19" s="62"/>
      <c r="K19" s="62"/>
      <c r="L19" s="23"/>
      <c r="M19" s="41"/>
      <c r="N19" s="23"/>
      <c r="O19" s="23"/>
      <c r="P19" s="23"/>
      <c r="Q19" s="23"/>
    </row>
    <row r="20" spans="1:17" ht="12" customHeight="1" hidden="1">
      <c r="A20" s="20">
        <v>10</v>
      </c>
      <c r="B20" s="26"/>
      <c r="C20" s="18" t="s">
        <v>55</v>
      </c>
      <c r="D20" s="35"/>
      <c r="E20" s="35"/>
      <c r="F20" s="35"/>
      <c r="G20" s="167"/>
      <c r="H20" s="57"/>
      <c r="I20" s="35"/>
      <c r="J20" s="34"/>
      <c r="K20" s="34"/>
      <c r="L20" s="45"/>
      <c r="M20" s="42"/>
      <c r="N20" s="45"/>
      <c r="O20" s="45"/>
      <c r="P20" s="45"/>
      <c r="Q20" s="45"/>
    </row>
    <row r="21" spans="1:17" ht="12" customHeight="1" hidden="1">
      <c r="A21" s="20">
        <v>11</v>
      </c>
      <c r="B21" s="26"/>
      <c r="C21" s="18" t="s">
        <v>56</v>
      </c>
      <c r="D21" s="35"/>
      <c r="E21" s="35"/>
      <c r="F21" s="35"/>
      <c r="G21" s="167"/>
      <c r="H21" s="57"/>
      <c r="I21" s="35"/>
      <c r="J21" s="34"/>
      <c r="K21" s="34"/>
      <c r="L21" s="45"/>
      <c r="M21" s="42"/>
      <c r="N21" s="45"/>
      <c r="O21" s="45"/>
      <c r="P21" s="45"/>
      <c r="Q21" s="45"/>
    </row>
    <row r="22" spans="1:17" ht="12" customHeight="1">
      <c r="A22" s="20">
        <v>12</v>
      </c>
      <c r="B22" s="26"/>
      <c r="C22" s="18" t="s">
        <v>57</v>
      </c>
      <c r="D22" s="202">
        <v>1000</v>
      </c>
      <c r="E22" s="5">
        <v>1000</v>
      </c>
      <c r="F22" s="5">
        <v>1100</v>
      </c>
      <c r="G22" s="114">
        <v>1100</v>
      </c>
      <c r="H22" s="3">
        <f aca="true" t="shared" si="6" ref="H22:M22">G22*(1+$O$8)</f>
        <v>1133</v>
      </c>
      <c r="I22" s="3">
        <f t="shared" si="6"/>
        <v>1166.99</v>
      </c>
      <c r="J22" s="3">
        <f t="shared" si="6"/>
        <v>1201.9997</v>
      </c>
      <c r="K22" s="3">
        <f t="shared" si="6"/>
        <v>1238.0596910000002</v>
      </c>
      <c r="L22" s="3">
        <f t="shared" si="6"/>
        <v>1275.2014817300003</v>
      </c>
      <c r="M22" s="3">
        <f t="shared" si="6"/>
        <v>1313.4575261819004</v>
      </c>
      <c r="N22" s="3">
        <f>M22*(1+$O$8)</f>
        <v>1352.8612519673575</v>
      </c>
      <c r="O22" s="3">
        <f>N22*(1+$O$8)</f>
        <v>1393.4470895263782</v>
      </c>
      <c r="P22" s="3">
        <f>O22*(1+$O$8)</f>
        <v>1435.2505022121695</v>
      </c>
      <c r="Q22" s="3">
        <f>P22*(1+$O$8)</f>
        <v>1478.3080172785346</v>
      </c>
    </row>
    <row r="23" spans="1:17" ht="12" customHeight="1">
      <c r="A23" s="20">
        <v>13</v>
      </c>
      <c r="B23" s="26"/>
      <c r="C23" s="18" t="s">
        <v>58</v>
      </c>
      <c r="D23" s="202">
        <v>1000</v>
      </c>
      <c r="E23" s="35">
        <f aca="true" t="shared" si="7" ref="E23:N23">D23+E40-E55</f>
        <v>1030</v>
      </c>
      <c r="F23" s="35">
        <f t="shared" si="7"/>
        <v>1265</v>
      </c>
      <c r="G23" s="167">
        <f t="shared" si="7"/>
        <v>1330</v>
      </c>
      <c r="H23" s="45">
        <f t="shared" si="7"/>
        <v>1369.9</v>
      </c>
      <c r="I23" s="45">
        <f t="shared" si="7"/>
        <v>1410.9970000000003</v>
      </c>
      <c r="J23" s="45">
        <f t="shared" si="7"/>
        <v>1453.3269100000002</v>
      </c>
      <c r="K23" s="45">
        <f t="shared" si="7"/>
        <v>1496.9267173000003</v>
      </c>
      <c r="L23" s="45">
        <f t="shared" si="7"/>
        <v>1541.8345188189996</v>
      </c>
      <c r="M23" s="45">
        <f t="shared" si="7"/>
        <v>1588.0895543835702</v>
      </c>
      <c r="N23" s="45">
        <f t="shared" si="7"/>
        <v>1635.7322410150773</v>
      </c>
      <c r="O23" s="45">
        <f>N23+O40-O55</f>
        <v>1684.8042082455295</v>
      </c>
      <c r="P23" s="45">
        <f>O23+P40-P55</f>
        <v>1735.348334492894</v>
      </c>
      <c r="Q23" s="45">
        <f>P23+Q40-Q55</f>
        <v>1787.4087845276822</v>
      </c>
    </row>
    <row r="24" spans="1:23" s="51" customFormat="1" ht="12" customHeight="1">
      <c r="A24" s="54">
        <v>14</v>
      </c>
      <c r="B24" s="56"/>
      <c r="C24" s="146" t="s">
        <v>59</v>
      </c>
      <c r="D24" s="147">
        <f>D20+D21+D22+D23</f>
        <v>2000</v>
      </c>
      <c r="E24" s="147">
        <f aca="true" t="shared" si="8" ref="E24:Q24">E20+E21+E22+E23</f>
        <v>2030</v>
      </c>
      <c r="F24" s="147">
        <f t="shared" si="8"/>
        <v>2365</v>
      </c>
      <c r="G24" s="164">
        <f t="shared" si="8"/>
        <v>2430</v>
      </c>
      <c r="H24" s="200">
        <f t="shared" si="8"/>
        <v>2502.9</v>
      </c>
      <c r="I24" s="147">
        <f t="shared" si="8"/>
        <v>2577.987</v>
      </c>
      <c r="J24" s="147">
        <f t="shared" si="8"/>
        <v>2655.32661</v>
      </c>
      <c r="K24" s="147">
        <f t="shared" si="8"/>
        <v>2734.9864083</v>
      </c>
      <c r="L24" s="147">
        <f t="shared" si="8"/>
        <v>2817.036000549</v>
      </c>
      <c r="M24" s="164">
        <f t="shared" si="8"/>
        <v>2901.5470805654704</v>
      </c>
      <c r="N24" s="147">
        <f t="shared" si="8"/>
        <v>2988.593492982435</v>
      </c>
      <c r="O24" s="147">
        <f t="shared" si="8"/>
        <v>3078.251297771908</v>
      </c>
      <c r="P24" s="147">
        <f t="shared" si="8"/>
        <v>3170.5988367050636</v>
      </c>
      <c r="Q24" s="147">
        <f t="shared" si="8"/>
        <v>3265.7168018062166</v>
      </c>
      <c r="R24" s="82"/>
      <c r="S24" s="82"/>
      <c r="T24" s="82"/>
      <c r="U24" s="82"/>
      <c r="V24" s="82"/>
      <c r="W24" s="82"/>
    </row>
    <row r="25" spans="1:17" ht="12" customHeight="1">
      <c r="A25" s="20"/>
      <c r="B25" s="27"/>
      <c r="C25" s="16"/>
      <c r="D25" s="62"/>
      <c r="E25" s="62"/>
      <c r="F25" s="62"/>
      <c r="G25" s="195"/>
      <c r="H25" s="23"/>
      <c r="I25" s="62"/>
      <c r="J25" s="62"/>
      <c r="K25" s="62"/>
      <c r="L25" s="23"/>
      <c r="M25" s="41"/>
      <c r="N25" s="23"/>
      <c r="O25" s="23"/>
      <c r="P25" s="89"/>
      <c r="Q25" s="23"/>
    </row>
    <row r="26" spans="1:17" ht="12" customHeight="1" hidden="1">
      <c r="A26" s="20">
        <v>15</v>
      </c>
      <c r="B26" s="29"/>
      <c r="C26" s="12" t="s">
        <v>46</v>
      </c>
      <c r="D26" s="30">
        <f>D10+D11+D12-D20-D21</f>
        <v>400</v>
      </c>
      <c r="E26" s="30">
        <f aca="true" t="shared" si="9" ref="E26:Q26">E10+E11+E12-E20-E21</f>
        <v>430</v>
      </c>
      <c r="F26" s="30">
        <f t="shared" si="9"/>
        <v>515</v>
      </c>
      <c r="G26" s="165">
        <f t="shared" si="9"/>
        <v>550</v>
      </c>
      <c r="H26" s="201">
        <f t="shared" si="9"/>
        <v>566.5</v>
      </c>
      <c r="I26" s="30">
        <f t="shared" si="9"/>
        <v>583.495</v>
      </c>
      <c r="J26" s="30">
        <f t="shared" si="9"/>
        <v>600.99985</v>
      </c>
      <c r="K26" s="30">
        <f t="shared" si="9"/>
        <v>619.0298455000001</v>
      </c>
      <c r="L26" s="30">
        <f t="shared" si="9"/>
        <v>637.6007408650001</v>
      </c>
      <c r="M26" s="165">
        <f t="shared" si="9"/>
        <v>656.7287630909502</v>
      </c>
      <c r="N26" s="30">
        <f t="shared" si="9"/>
        <v>676.4306259836787</v>
      </c>
      <c r="O26" s="30">
        <f t="shared" si="9"/>
        <v>696.7235447631891</v>
      </c>
      <c r="P26" s="30">
        <f t="shared" si="9"/>
        <v>717.6252511060848</v>
      </c>
      <c r="Q26" s="30">
        <f t="shared" si="9"/>
        <v>739.1540086392673</v>
      </c>
    </row>
    <row r="27" spans="1:17" ht="12" customHeight="1" hidden="1">
      <c r="A27" s="20"/>
      <c r="B27" s="27"/>
      <c r="C27" s="16"/>
      <c r="D27" s="62"/>
      <c r="E27" s="62"/>
      <c r="F27" s="62"/>
      <c r="G27" s="195"/>
      <c r="H27" s="23"/>
      <c r="I27" s="49"/>
      <c r="J27" s="49"/>
      <c r="K27" s="49"/>
      <c r="L27" s="49"/>
      <c r="M27" s="40"/>
      <c r="N27" s="49"/>
      <c r="O27" s="49"/>
      <c r="P27" s="49"/>
      <c r="Q27" s="49"/>
    </row>
    <row r="28" spans="1:17" ht="12.75" customHeight="1">
      <c r="A28" s="20"/>
      <c r="B28"/>
      <c r="C28" s="10" t="s">
        <v>60</v>
      </c>
      <c r="D28" s="62"/>
      <c r="E28" s="62"/>
      <c r="F28" s="62"/>
      <c r="G28" s="195"/>
      <c r="H28" s="23"/>
      <c r="I28" s="27"/>
      <c r="J28" s="27"/>
      <c r="K28" s="27"/>
      <c r="L28" s="27"/>
      <c r="M28" s="32"/>
      <c r="N28" s="27"/>
      <c r="O28" s="27"/>
      <c r="P28" s="27"/>
      <c r="Q28" s="27"/>
    </row>
    <row r="29" spans="1:17" ht="12.75" customHeight="1" hidden="1" thickBot="1">
      <c r="A29" s="20"/>
      <c r="B29" s="10"/>
      <c r="C29" s="16" t="s">
        <v>61</v>
      </c>
      <c r="D29" s="203">
        <v>0</v>
      </c>
      <c r="E29" s="35">
        <f>E30*(1+$D$29)</f>
        <v>2400</v>
      </c>
      <c r="F29" s="35">
        <f aca="true" t="shared" si="10" ref="F29:Q29">F30*(1+$D$29)</f>
        <v>3000</v>
      </c>
      <c r="G29" s="167">
        <f t="shared" si="10"/>
        <v>3400</v>
      </c>
      <c r="H29" s="57">
        <f t="shared" si="10"/>
        <v>3502</v>
      </c>
      <c r="I29" s="152">
        <f t="shared" si="10"/>
        <v>3607.06</v>
      </c>
      <c r="J29" s="152">
        <f t="shared" si="10"/>
        <v>3715.2718</v>
      </c>
      <c r="K29" s="152">
        <f t="shared" si="10"/>
        <v>3826.729954</v>
      </c>
      <c r="L29" s="152">
        <f t="shared" si="10"/>
        <v>3941.53185262</v>
      </c>
      <c r="M29" s="166">
        <f t="shared" si="10"/>
        <v>4059.7778081986</v>
      </c>
      <c r="N29" s="152">
        <f t="shared" si="10"/>
        <v>4181.571142444558</v>
      </c>
      <c r="O29" s="152">
        <f t="shared" si="10"/>
        <v>4307.018276717895</v>
      </c>
      <c r="P29" s="152">
        <f t="shared" si="10"/>
        <v>4436.2288250194315</v>
      </c>
      <c r="Q29" s="152">
        <f t="shared" si="10"/>
        <v>4569.315689770015</v>
      </c>
    </row>
    <row r="30" spans="1:17" ht="12.75" customHeight="1">
      <c r="A30" s="20">
        <v>16</v>
      </c>
      <c r="B30" s="27"/>
      <c r="C30" s="18" t="s">
        <v>62</v>
      </c>
      <c r="D30" s="35"/>
      <c r="E30" s="5">
        <v>2400</v>
      </c>
      <c r="F30" s="5">
        <v>3000</v>
      </c>
      <c r="G30" s="36">
        <v>3400</v>
      </c>
      <c r="H30" s="3">
        <f aca="true" t="shared" si="11" ref="H30:M30">G30*(1+$O$8)</f>
        <v>3502</v>
      </c>
      <c r="I30" s="3">
        <f t="shared" si="11"/>
        <v>3607.06</v>
      </c>
      <c r="J30" s="3">
        <f t="shared" si="11"/>
        <v>3715.2718</v>
      </c>
      <c r="K30" s="3">
        <f t="shared" si="11"/>
        <v>3826.729954</v>
      </c>
      <c r="L30" s="3">
        <f t="shared" si="11"/>
        <v>3941.53185262</v>
      </c>
      <c r="M30" s="3">
        <f t="shared" si="11"/>
        <v>4059.7778081986</v>
      </c>
      <c r="N30" s="3">
        <f>M30*(1+$O$8)</f>
        <v>4181.571142444558</v>
      </c>
      <c r="O30" s="3">
        <f>N30*(1+$O$8)</f>
        <v>4307.018276717895</v>
      </c>
      <c r="P30" s="3">
        <f>O30*(1+$O$8)</f>
        <v>4436.2288250194315</v>
      </c>
      <c r="Q30" s="3">
        <f>P30*(1+$O$8)</f>
        <v>4569.315689770015</v>
      </c>
    </row>
    <row r="31" spans="1:17" ht="10.5" customHeight="1">
      <c r="A31" s="20">
        <v>17</v>
      </c>
      <c r="B31" s="27"/>
      <c r="C31" s="18" t="s">
        <v>63</v>
      </c>
      <c r="D31" s="35"/>
      <c r="E31" s="35">
        <f>E29*0.5</f>
        <v>1200</v>
      </c>
      <c r="F31" s="35">
        <f aca="true" t="shared" si="12" ref="F31:Q31">F29*0.5</f>
        <v>1500</v>
      </c>
      <c r="G31" s="229">
        <f t="shared" si="12"/>
        <v>1700</v>
      </c>
      <c r="H31" s="57">
        <f t="shared" si="12"/>
        <v>1751</v>
      </c>
      <c r="I31" s="35">
        <f t="shared" si="12"/>
        <v>1803.53</v>
      </c>
      <c r="J31" s="35">
        <f t="shared" si="12"/>
        <v>1857.6359</v>
      </c>
      <c r="K31" s="35">
        <f t="shared" si="12"/>
        <v>1913.364977</v>
      </c>
      <c r="L31" s="35">
        <f t="shared" si="12"/>
        <v>1970.76592631</v>
      </c>
      <c r="M31" s="35">
        <f t="shared" si="12"/>
        <v>2029.8889040993</v>
      </c>
      <c r="N31" s="35">
        <f t="shared" si="12"/>
        <v>2090.785571222279</v>
      </c>
      <c r="O31" s="35">
        <f t="shared" si="12"/>
        <v>2153.5091383589474</v>
      </c>
      <c r="P31" s="35">
        <f t="shared" si="12"/>
        <v>2218.1144125097157</v>
      </c>
      <c r="Q31" s="35">
        <f t="shared" si="12"/>
        <v>2284.6578448850073</v>
      </c>
    </row>
    <row r="32" spans="1:17" ht="10.5" customHeight="1">
      <c r="A32" s="20">
        <v>18</v>
      </c>
      <c r="B32" s="27"/>
      <c r="C32" s="18" t="s">
        <v>64</v>
      </c>
      <c r="D32" s="35"/>
      <c r="E32" s="35"/>
      <c r="F32" s="35"/>
      <c r="G32" s="229"/>
      <c r="H32" s="57"/>
      <c r="I32" s="57"/>
      <c r="J32" s="57"/>
      <c r="K32" s="57"/>
      <c r="L32" s="57"/>
      <c r="M32" s="57"/>
      <c r="N32" s="57"/>
      <c r="O32" s="57"/>
      <c r="P32" s="57"/>
      <c r="Q32" s="26"/>
    </row>
    <row r="33" spans="1:17" ht="10.5" customHeight="1">
      <c r="A33" s="20">
        <v>19</v>
      </c>
      <c r="B33" s="27"/>
      <c r="C33" s="18" t="s">
        <v>65</v>
      </c>
      <c r="D33" s="35"/>
      <c r="E33" s="35">
        <v>800</v>
      </c>
      <c r="F33" s="35">
        <v>1000</v>
      </c>
      <c r="G33" s="229">
        <v>1134</v>
      </c>
      <c r="H33" s="57">
        <v>1167</v>
      </c>
      <c r="I33" s="57">
        <v>1202</v>
      </c>
      <c r="J33" s="57">
        <f aca="true" t="shared" si="13" ref="J33:Q33">J30/3</f>
        <v>1238.4239333333333</v>
      </c>
      <c r="K33" s="57">
        <f t="shared" si="13"/>
        <v>1275.5766513333333</v>
      </c>
      <c r="L33" s="57">
        <f t="shared" si="13"/>
        <v>1313.8439508733334</v>
      </c>
      <c r="M33" s="57">
        <f t="shared" si="13"/>
        <v>1353.2592693995332</v>
      </c>
      <c r="N33" s="57">
        <f t="shared" si="13"/>
        <v>1393.8570474815194</v>
      </c>
      <c r="O33" s="57">
        <f t="shared" si="13"/>
        <v>1435.6727589059649</v>
      </c>
      <c r="P33" s="57">
        <f t="shared" si="13"/>
        <v>1478.7429416731438</v>
      </c>
      <c r="Q33" s="57">
        <f t="shared" si="13"/>
        <v>1523.1052299233381</v>
      </c>
    </row>
    <row r="34" spans="1:17" ht="10.5" customHeight="1">
      <c r="A34" s="20">
        <v>20</v>
      </c>
      <c r="B34" s="27"/>
      <c r="C34" s="18" t="s">
        <v>66</v>
      </c>
      <c r="D34" s="35"/>
      <c r="E34" s="5">
        <v>200</v>
      </c>
      <c r="F34" s="5">
        <v>250</v>
      </c>
      <c r="G34" s="36">
        <v>270</v>
      </c>
      <c r="H34" s="3">
        <f aca="true" t="shared" si="14" ref="H34:M34">G34*(1+$O$8)</f>
        <v>278.1</v>
      </c>
      <c r="I34" s="2">
        <f t="shared" si="14"/>
        <v>286.44300000000004</v>
      </c>
      <c r="J34" s="2">
        <f t="shared" si="14"/>
        <v>295.03629000000006</v>
      </c>
      <c r="K34" s="2">
        <f t="shared" si="14"/>
        <v>303.88737870000006</v>
      </c>
      <c r="L34" s="2">
        <f t="shared" si="14"/>
        <v>313.00400006100006</v>
      </c>
      <c r="M34" s="2">
        <f t="shared" si="14"/>
        <v>322.39412006283004</v>
      </c>
      <c r="N34" s="2">
        <f>M34*(1+$O$8)</f>
        <v>332.06594366471495</v>
      </c>
      <c r="O34" s="2">
        <f>N34*(1+$O$8)</f>
        <v>342.0279219746564</v>
      </c>
      <c r="P34" s="2">
        <f>O34*(1+$O$8)</f>
        <v>352.2887596338961</v>
      </c>
      <c r="Q34" s="2">
        <f>P34*(1+$O$8)</f>
        <v>362.85742242291303</v>
      </c>
    </row>
    <row r="35" spans="1:17" ht="10.5" customHeight="1">
      <c r="A35" s="20">
        <v>21</v>
      </c>
      <c r="C35" s="4" t="s">
        <v>67</v>
      </c>
      <c r="D35" s="5"/>
      <c r="E35" s="5">
        <f>E29-E31-E32-E33-E34</f>
        <v>200</v>
      </c>
      <c r="F35" s="5">
        <f aca="true" t="shared" si="15" ref="F35:Q35">F29-F31-F32-F33-F34</f>
        <v>250</v>
      </c>
      <c r="G35" s="36">
        <f t="shared" si="15"/>
        <v>296</v>
      </c>
      <c r="H35" s="1">
        <f t="shared" si="15"/>
        <v>305.9</v>
      </c>
      <c r="I35" s="5">
        <f t="shared" si="15"/>
        <v>315.08699999999993</v>
      </c>
      <c r="J35" s="5">
        <f t="shared" si="15"/>
        <v>324.1756766666667</v>
      </c>
      <c r="K35" s="5">
        <f t="shared" si="15"/>
        <v>333.9009469666666</v>
      </c>
      <c r="L35" s="5">
        <f t="shared" si="15"/>
        <v>343.9179753756665</v>
      </c>
      <c r="M35" s="5">
        <f t="shared" si="15"/>
        <v>354.23551463693667</v>
      </c>
      <c r="N35" s="5">
        <f t="shared" si="15"/>
        <v>364.86258007604465</v>
      </c>
      <c r="O35" s="5">
        <f t="shared" si="15"/>
        <v>375.80845747832615</v>
      </c>
      <c r="P35" s="5">
        <f t="shared" si="15"/>
        <v>387.0827112026758</v>
      </c>
      <c r="Q35" s="5">
        <f t="shared" si="15"/>
        <v>398.69519253875615</v>
      </c>
    </row>
    <row r="36" spans="1:17" ht="10.5" customHeight="1">
      <c r="A36" s="20">
        <v>22</v>
      </c>
      <c r="C36" s="4" t="s">
        <v>68</v>
      </c>
      <c r="D36" s="5"/>
      <c r="E36" s="5">
        <f>D140*D145</f>
        <v>60</v>
      </c>
      <c r="F36" s="5">
        <f>E140*E145</f>
        <v>60</v>
      </c>
      <c r="G36" s="36">
        <f aca="true" t="shared" si="16" ref="G36:M36">F140*F145</f>
        <v>66</v>
      </c>
      <c r="H36" s="1">
        <f t="shared" si="16"/>
        <v>66</v>
      </c>
      <c r="I36" s="5">
        <f t="shared" si="16"/>
        <v>67.98</v>
      </c>
      <c r="J36" s="5">
        <f t="shared" si="16"/>
        <v>70.0194</v>
      </c>
      <c r="K36" s="5">
        <f t="shared" si="16"/>
        <v>72.11998200000001</v>
      </c>
      <c r="L36" s="5">
        <f t="shared" si="16"/>
        <v>74.28358146000001</v>
      </c>
      <c r="M36" s="5">
        <f t="shared" si="16"/>
        <v>76.51208890380002</v>
      </c>
      <c r="N36" s="5">
        <f>M140*M145</f>
        <v>78.80745157091403</v>
      </c>
      <c r="O36" s="5">
        <f>N140*N145</f>
        <v>81.17167511804145</v>
      </c>
      <c r="P36" s="5">
        <f>O140*O145</f>
        <v>83.60682537158269</v>
      </c>
      <c r="Q36" s="5">
        <f>P140*P145</f>
        <v>86.11503013273017</v>
      </c>
    </row>
    <row r="37" spans="1:17" ht="10.5" customHeight="1">
      <c r="A37" s="20">
        <v>23</v>
      </c>
      <c r="C37" s="4" t="s">
        <v>69</v>
      </c>
      <c r="D37" s="5"/>
      <c r="E37" s="5"/>
      <c r="F37" s="5"/>
      <c r="G37" s="36"/>
      <c r="H37" s="1"/>
      <c r="I37" s="5"/>
      <c r="J37" s="5"/>
      <c r="K37" s="5"/>
      <c r="L37" s="5"/>
      <c r="M37" s="5"/>
      <c r="N37" s="5"/>
      <c r="O37" s="5"/>
      <c r="P37" s="5"/>
      <c r="Q37" s="5"/>
    </row>
    <row r="38" spans="1:17" ht="10.5" customHeight="1">
      <c r="A38" s="20">
        <v>24</v>
      </c>
      <c r="C38" s="4" t="s">
        <v>70</v>
      </c>
      <c r="D38" s="5"/>
      <c r="E38" s="5">
        <f>E35-E36+E37</f>
        <v>140</v>
      </c>
      <c r="F38" s="5">
        <f aca="true" t="shared" si="17" ref="F38:Q38">F35-F36+F37</f>
        <v>190</v>
      </c>
      <c r="G38" s="36">
        <f t="shared" si="17"/>
        <v>230</v>
      </c>
      <c r="H38" s="1">
        <f t="shared" si="17"/>
        <v>239.89999999999998</v>
      </c>
      <c r="I38" s="5">
        <f t="shared" si="17"/>
        <v>247.1069999999999</v>
      </c>
      <c r="J38" s="5">
        <f t="shared" si="17"/>
        <v>254.15627666666666</v>
      </c>
      <c r="K38" s="5">
        <f t="shared" si="17"/>
        <v>261.7809649666666</v>
      </c>
      <c r="L38" s="5">
        <f t="shared" si="17"/>
        <v>269.6343939156665</v>
      </c>
      <c r="M38" s="5">
        <f t="shared" si="17"/>
        <v>277.72342573313665</v>
      </c>
      <c r="N38" s="5">
        <f t="shared" si="17"/>
        <v>286.0551285051306</v>
      </c>
      <c r="O38" s="5">
        <f t="shared" si="17"/>
        <v>294.6367823602847</v>
      </c>
      <c r="P38" s="5">
        <f t="shared" si="17"/>
        <v>303.47588583109314</v>
      </c>
      <c r="Q38" s="5">
        <f t="shared" si="17"/>
        <v>312.580162406026</v>
      </c>
    </row>
    <row r="39" spans="1:17" ht="12.75" customHeight="1">
      <c r="A39" s="20">
        <v>25</v>
      </c>
      <c r="B39"/>
      <c r="C39" s="4" t="s">
        <v>71</v>
      </c>
      <c r="D39" s="5"/>
      <c r="E39" s="5">
        <f aca="true" t="shared" si="18" ref="E39:Q39">$F1*E38</f>
        <v>42</v>
      </c>
      <c r="F39" s="5">
        <f t="shared" si="18"/>
        <v>57</v>
      </c>
      <c r="G39" s="36">
        <f t="shared" si="18"/>
        <v>69</v>
      </c>
      <c r="H39" s="3">
        <f t="shared" si="18"/>
        <v>71.96999999999998</v>
      </c>
      <c r="I39" s="3">
        <f t="shared" si="18"/>
        <v>74.13209999999997</v>
      </c>
      <c r="J39" s="3">
        <f t="shared" si="18"/>
        <v>76.246883</v>
      </c>
      <c r="K39" s="3">
        <f t="shared" si="18"/>
        <v>78.53428948999998</v>
      </c>
      <c r="L39" s="3">
        <f t="shared" si="18"/>
        <v>80.89031817469996</v>
      </c>
      <c r="M39" s="3">
        <f t="shared" si="18"/>
        <v>83.317027719941</v>
      </c>
      <c r="N39" s="3">
        <f t="shared" si="18"/>
        <v>85.81653855153918</v>
      </c>
      <c r="O39" s="3">
        <f t="shared" si="18"/>
        <v>88.39103470808541</v>
      </c>
      <c r="P39" s="3">
        <f t="shared" si="18"/>
        <v>91.04276574932794</v>
      </c>
      <c r="Q39" s="3">
        <f t="shared" si="18"/>
        <v>93.77404872180779</v>
      </c>
    </row>
    <row r="40" spans="1:23" s="91" customFormat="1" ht="12.75" customHeight="1" thickBot="1">
      <c r="A40" s="77">
        <v>26</v>
      </c>
      <c r="C40" s="91" t="s">
        <v>72</v>
      </c>
      <c r="D40" s="93"/>
      <c r="E40" s="144">
        <f aca="true" t="shared" si="19" ref="E40:N40">E38-E39</f>
        <v>98</v>
      </c>
      <c r="F40" s="144">
        <f t="shared" si="19"/>
        <v>133</v>
      </c>
      <c r="G40" s="145">
        <f t="shared" si="19"/>
        <v>161</v>
      </c>
      <c r="H40" s="144">
        <f t="shared" si="19"/>
        <v>167.93</v>
      </c>
      <c r="I40" s="144">
        <f t="shared" si="19"/>
        <v>172.97489999999993</v>
      </c>
      <c r="J40" s="144">
        <f t="shared" si="19"/>
        <v>177.90939366666666</v>
      </c>
      <c r="K40" s="144">
        <f t="shared" si="19"/>
        <v>183.2466754766666</v>
      </c>
      <c r="L40" s="144">
        <f t="shared" si="19"/>
        <v>188.74407574096657</v>
      </c>
      <c r="M40" s="145">
        <f t="shared" si="19"/>
        <v>194.40639801319566</v>
      </c>
      <c r="N40" s="144">
        <f t="shared" si="19"/>
        <v>200.23858995359143</v>
      </c>
      <c r="O40" s="144">
        <f>O38-O39</f>
        <v>206.2457476521993</v>
      </c>
      <c r="P40" s="144">
        <f>P38-P39</f>
        <v>212.4331200817652</v>
      </c>
      <c r="Q40" s="144">
        <f>Q38-Q39</f>
        <v>218.8061136842182</v>
      </c>
      <c r="R40" s="66"/>
      <c r="S40" s="66"/>
      <c r="T40" s="66"/>
      <c r="U40" s="66"/>
      <c r="V40" s="66"/>
      <c r="W40" s="66"/>
    </row>
    <row r="41" spans="1:17" s="66" customFormat="1" ht="12.75" customHeight="1">
      <c r="A41" s="65"/>
      <c r="F41" s="148"/>
      <c r="G41" s="149"/>
      <c r="H41" s="148"/>
      <c r="I41" s="148"/>
      <c r="J41" s="148"/>
      <c r="K41" s="148"/>
      <c r="L41" s="148"/>
      <c r="M41" s="149"/>
      <c r="N41" s="148"/>
      <c r="O41" s="148"/>
      <c r="P41" s="148"/>
      <c r="Q41" s="148"/>
    </row>
    <row r="42" spans="1:17" s="66" customFormat="1" ht="12.75" customHeight="1">
      <c r="A42" s="65"/>
      <c r="F42" s="148"/>
      <c r="G42" s="149"/>
      <c r="H42" s="148"/>
      <c r="I42" s="148"/>
      <c r="J42" s="148"/>
      <c r="K42" s="148"/>
      <c r="L42" s="148"/>
      <c r="M42" s="149"/>
      <c r="N42" s="148"/>
      <c r="O42" s="148"/>
      <c r="P42" s="148"/>
      <c r="Q42" s="148"/>
    </row>
    <row r="43" spans="1:17" s="66" customFormat="1" ht="12.75" customHeight="1">
      <c r="A43" s="65"/>
      <c r="F43" s="148"/>
      <c r="G43" s="149"/>
      <c r="H43" s="148"/>
      <c r="I43" s="148"/>
      <c r="J43" s="148"/>
      <c r="K43" s="148"/>
      <c r="L43" s="148"/>
      <c r="M43" s="149"/>
      <c r="N43" s="148"/>
      <c r="O43" s="148"/>
      <c r="P43" s="148"/>
      <c r="Q43" s="148"/>
    </row>
    <row r="44" spans="1:17" s="66" customFormat="1" ht="12.75" customHeight="1">
      <c r="A44" s="65"/>
      <c r="F44" s="148"/>
      <c r="G44" s="149"/>
      <c r="H44" s="148"/>
      <c r="I44" s="148"/>
      <c r="J44" s="148"/>
      <c r="K44" s="148"/>
      <c r="L44" s="148"/>
      <c r="M44" s="149"/>
      <c r="N44" s="148"/>
      <c r="O44" s="148"/>
      <c r="P44" s="148"/>
      <c r="Q44" s="148"/>
    </row>
    <row r="45" spans="1:17" s="66" customFormat="1" ht="12.75" customHeight="1">
      <c r="A45" s="65"/>
      <c r="F45" s="148"/>
      <c r="G45" s="149"/>
      <c r="H45" s="148"/>
      <c r="I45" s="21" t="s">
        <v>73</v>
      </c>
      <c r="J45" s="148"/>
      <c r="K45" s="148"/>
      <c r="L45" s="148"/>
      <c r="M45" s="149"/>
      <c r="N45" s="148"/>
      <c r="O45" s="148"/>
      <c r="P45" s="148"/>
      <c r="Q45" s="148"/>
    </row>
    <row r="46" spans="1:17" s="66" customFormat="1" ht="12.75" customHeight="1">
      <c r="A46" s="65"/>
      <c r="F46" s="148"/>
      <c r="G46" s="149"/>
      <c r="H46" s="148"/>
      <c r="I46" s="148"/>
      <c r="J46" s="148"/>
      <c r="K46" s="148"/>
      <c r="L46" s="148"/>
      <c r="M46" s="149"/>
      <c r="N46" s="148"/>
      <c r="O46" s="148"/>
      <c r="P46" s="148"/>
      <c r="Q46" s="148"/>
    </row>
    <row r="47" spans="1:17" ht="12" customHeight="1" thickBot="1">
      <c r="A47" s="20"/>
      <c r="B47"/>
      <c r="C47"/>
      <c r="D47" s="79">
        <v>0</v>
      </c>
      <c r="E47" s="79">
        <v>1</v>
      </c>
      <c r="F47" s="79">
        <f aca="true" t="shared" si="20" ref="F47:Q47">E47+1</f>
        <v>2</v>
      </c>
      <c r="G47" s="206">
        <f t="shared" si="20"/>
        <v>3</v>
      </c>
      <c r="H47" s="79">
        <f t="shared" si="20"/>
        <v>4</v>
      </c>
      <c r="I47" s="79">
        <f t="shared" si="20"/>
        <v>5</v>
      </c>
      <c r="J47" s="127">
        <f t="shared" si="20"/>
        <v>6</v>
      </c>
      <c r="K47" s="127">
        <f t="shared" si="20"/>
        <v>7</v>
      </c>
      <c r="L47" s="127">
        <f t="shared" si="20"/>
        <v>8</v>
      </c>
      <c r="M47" s="137">
        <f t="shared" si="20"/>
        <v>9</v>
      </c>
      <c r="N47" s="127">
        <f t="shared" si="20"/>
        <v>10</v>
      </c>
      <c r="O47" s="127">
        <f t="shared" si="20"/>
        <v>11</v>
      </c>
      <c r="P47" s="127">
        <f t="shared" si="20"/>
        <v>12</v>
      </c>
      <c r="Q47" s="127">
        <f t="shared" si="20"/>
        <v>13</v>
      </c>
    </row>
    <row r="48" spans="1:23" s="150" customFormat="1" ht="12" customHeight="1" thickBot="1">
      <c r="A48" s="77"/>
      <c r="C48" s="91" t="s">
        <v>72</v>
      </c>
      <c r="D48" s="79"/>
      <c r="E48" s="204">
        <f aca="true" t="shared" si="21" ref="E48:Q48">E40</f>
        <v>98</v>
      </c>
      <c r="F48" s="204">
        <f t="shared" si="21"/>
        <v>133</v>
      </c>
      <c r="G48" s="205">
        <f t="shared" si="21"/>
        <v>161</v>
      </c>
      <c r="H48" s="136">
        <f t="shared" si="21"/>
        <v>167.93</v>
      </c>
      <c r="I48" s="136">
        <f t="shared" si="21"/>
        <v>172.97489999999993</v>
      </c>
      <c r="J48" s="136">
        <f t="shared" si="21"/>
        <v>177.90939366666666</v>
      </c>
      <c r="K48" s="136">
        <f t="shared" si="21"/>
        <v>183.2466754766666</v>
      </c>
      <c r="L48" s="136">
        <f t="shared" si="21"/>
        <v>188.74407574096657</v>
      </c>
      <c r="M48" s="168">
        <f t="shared" si="21"/>
        <v>194.40639801319566</v>
      </c>
      <c r="N48" s="136">
        <f t="shared" si="21"/>
        <v>200.23858995359143</v>
      </c>
      <c r="O48" s="136">
        <f t="shared" si="21"/>
        <v>206.2457476521993</v>
      </c>
      <c r="P48" s="136">
        <f t="shared" si="21"/>
        <v>212.4331200817652</v>
      </c>
      <c r="Q48" s="136">
        <f t="shared" si="21"/>
        <v>218.8061136842182</v>
      </c>
      <c r="R48" s="131"/>
      <c r="S48" s="131"/>
      <c r="T48" s="131"/>
      <c r="U48" s="131"/>
      <c r="V48" s="131"/>
      <c r="W48" s="131"/>
    </row>
    <row r="49" spans="1:17" ht="12.75" customHeight="1">
      <c r="A49" s="20">
        <v>27</v>
      </c>
      <c r="C49" s="4" t="s">
        <v>74</v>
      </c>
      <c r="E49" s="4">
        <f aca="true" t="shared" si="22" ref="E49:Q49">E34</f>
        <v>200</v>
      </c>
      <c r="F49" s="1">
        <f t="shared" si="22"/>
        <v>250</v>
      </c>
      <c r="G49" s="36">
        <f t="shared" si="22"/>
        <v>270</v>
      </c>
      <c r="H49" s="1">
        <f t="shared" si="22"/>
        <v>278.1</v>
      </c>
      <c r="I49" s="1">
        <f t="shared" si="22"/>
        <v>286.44300000000004</v>
      </c>
      <c r="J49" s="3">
        <f t="shared" si="22"/>
        <v>295.03629000000006</v>
      </c>
      <c r="K49" s="3">
        <f t="shared" si="22"/>
        <v>303.88737870000006</v>
      </c>
      <c r="L49" s="3">
        <f t="shared" si="22"/>
        <v>313.00400006100006</v>
      </c>
      <c r="M49" s="43">
        <f t="shared" si="22"/>
        <v>322.39412006283004</v>
      </c>
      <c r="N49" s="3">
        <f t="shared" si="22"/>
        <v>332.06594366471495</v>
      </c>
      <c r="O49" s="3">
        <f t="shared" si="22"/>
        <v>342.0279219746564</v>
      </c>
      <c r="P49" s="3">
        <f t="shared" si="22"/>
        <v>352.2887596338961</v>
      </c>
      <c r="Q49" s="3">
        <f t="shared" si="22"/>
        <v>362.85742242291303</v>
      </c>
    </row>
    <row r="50" spans="1:17" ht="12" customHeight="1">
      <c r="A50" s="20">
        <v>28</v>
      </c>
      <c r="C50" s="4" t="s">
        <v>75</v>
      </c>
      <c r="E50" s="4">
        <f aca="true" t="shared" si="23" ref="E50:N50">E140-D140</f>
        <v>0</v>
      </c>
      <c r="F50" s="1">
        <f t="shared" si="23"/>
        <v>100</v>
      </c>
      <c r="G50" s="36">
        <f t="shared" si="23"/>
        <v>0</v>
      </c>
      <c r="H50" s="1">
        <f t="shared" si="23"/>
        <v>33</v>
      </c>
      <c r="I50" s="1">
        <f t="shared" si="23"/>
        <v>33.99000000000001</v>
      </c>
      <c r="J50" s="3">
        <f t="shared" si="23"/>
        <v>35.009700000000066</v>
      </c>
      <c r="K50" s="3">
        <f t="shared" si="23"/>
        <v>36.05999100000008</v>
      </c>
      <c r="L50" s="3">
        <f t="shared" si="23"/>
        <v>37.14179073000014</v>
      </c>
      <c r="M50" s="43">
        <f t="shared" si="23"/>
        <v>38.25604445190015</v>
      </c>
      <c r="N50" s="3">
        <f t="shared" si="23"/>
        <v>39.40372578545703</v>
      </c>
      <c r="O50" s="3">
        <f>O140-N140</f>
        <v>40.585837559020774</v>
      </c>
      <c r="P50" s="3">
        <f>P140-O140</f>
        <v>41.80341268579127</v>
      </c>
      <c r="Q50" s="3">
        <f>Q140-P140</f>
        <v>43.05751506636511</v>
      </c>
    </row>
    <row r="51" spans="1:17" ht="12" customHeight="1">
      <c r="A51" s="20">
        <v>29</v>
      </c>
      <c r="C51" s="4" t="s">
        <v>76</v>
      </c>
      <c r="E51" s="4">
        <f aca="true" t="shared" si="24" ref="E51:N51">D26-E26</f>
        <v>-30</v>
      </c>
      <c r="F51" s="4">
        <f t="shared" si="24"/>
        <v>-85</v>
      </c>
      <c r="G51" s="39">
        <f t="shared" si="24"/>
        <v>-35</v>
      </c>
      <c r="H51" s="4">
        <f t="shared" si="24"/>
        <v>-16.5</v>
      </c>
      <c r="I51" s="4">
        <f t="shared" si="24"/>
        <v>-16.995000000000005</v>
      </c>
      <c r="J51" s="4">
        <f t="shared" si="24"/>
        <v>-17.504850000000033</v>
      </c>
      <c r="K51" s="4">
        <f t="shared" si="24"/>
        <v>-18.02999550000004</v>
      </c>
      <c r="L51" s="4">
        <f t="shared" si="24"/>
        <v>-18.57089536500007</v>
      </c>
      <c r="M51" s="39">
        <f t="shared" si="24"/>
        <v>-19.128022225950076</v>
      </c>
      <c r="N51" s="1">
        <f t="shared" si="24"/>
        <v>-19.701862892728514</v>
      </c>
      <c r="O51" s="1">
        <f>N26-O26</f>
        <v>-20.292918779510387</v>
      </c>
      <c r="P51" s="1">
        <f>O26-P26</f>
        <v>-20.901706342895636</v>
      </c>
      <c r="Q51" s="4">
        <f>P26-Q26</f>
        <v>-21.528757533182556</v>
      </c>
    </row>
    <row r="52" spans="1:17" ht="12" customHeight="1">
      <c r="A52" s="20">
        <v>30</v>
      </c>
      <c r="C52" s="4" t="s">
        <v>77</v>
      </c>
      <c r="D52" s="4" t="s">
        <v>78</v>
      </c>
      <c r="E52" s="4">
        <f aca="true" t="shared" si="25" ref="E52:M52">D14-E14</f>
        <v>-200</v>
      </c>
      <c r="F52" s="1">
        <f t="shared" si="25"/>
        <v>-500</v>
      </c>
      <c r="G52" s="36">
        <f t="shared" si="25"/>
        <v>-300</v>
      </c>
      <c r="H52" s="1">
        <f t="shared" si="25"/>
        <v>-334.5</v>
      </c>
      <c r="I52" s="1">
        <f t="shared" si="25"/>
        <v>-344.5350000000003</v>
      </c>
      <c r="J52" s="3">
        <f t="shared" si="25"/>
        <v>-354.8710500000002</v>
      </c>
      <c r="K52" s="3">
        <f t="shared" si="25"/>
        <v>-365.51718150000033</v>
      </c>
      <c r="L52" s="3">
        <f t="shared" si="25"/>
        <v>-376.4826969449996</v>
      </c>
      <c r="M52" s="43">
        <f t="shared" si="25"/>
        <v>-387.7771778533506</v>
      </c>
      <c r="N52" s="3">
        <f>M14-N14</f>
        <v>-399.41049318895057</v>
      </c>
      <c r="O52" s="3">
        <f>N14-O14</f>
        <v>-411.39280798461914</v>
      </c>
      <c r="P52" s="3">
        <f>O14-P14</f>
        <v>-423.7345922241566</v>
      </c>
      <c r="Q52" s="3">
        <f>P14-Q14</f>
        <v>-436.4466299908836</v>
      </c>
    </row>
    <row r="53" spans="1:17" ht="12" customHeight="1" hidden="1">
      <c r="A53" s="20">
        <v>31</v>
      </c>
      <c r="C53" s="4" t="s">
        <v>77</v>
      </c>
      <c r="D53" s="4" t="s">
        <v>79</v>
      </c>
      <c r="F53" s="1"/>
      <c r="G53" s="36"/>
      <c r="H53" s="1"/>
      <c r="I53" s="1"/>
      <c r="J53" s="3"/>
      <c r="K53" s="3"/>
      <c r="L53" s="3"/>
      <c r="M53" s="43"/>
      <c r="N53" s="3"/>
      <c r="O53" s="3"/>
      <c r="P53" s="3"/>
      <c r="Q53" s="3"/>
    </row>
    <row r="54" spans="1:17" ht="12" customHeight="1" hidden="1">
      <c r="A54" s="20">
        <v>32</v>
      </c>
      <c r="C54" s="4" t="s">
        <v>80</v>
      </c>
      <c r="F54" s="1"/>
      <c r="G54" s="36"/>
      <c r="H54" s="1"/>
      <c r="I54" s="1"/>
      <c r="J54" s="3"/>
      <c r="K54" s="3"/>
      <c r="L54" s="3"/>
      <c r="M54" s="43"/>
      <c r="N54" s="3"/>
      <c r="O54" s="3"/>
      <c r="P54" s="3"/>
      <c r="Q54" s="3"/>
    </row>
    <row r="55" spans="1:44" ht="12" customHeight="1">
      <c r="A55" s="54">
        <v>33</v>
      </c>
      <c r="B55" s="51"/>
      <c r="C55" s="47" t="s">
        <v>81</v>
      </c>
      <c r="D55" s="51"/>
      <c r="E55" s="72">
        <f>E40+E49+E52+E50+E51+E54+E53</f>
        <v>68</v>
      </c>
      <c r="F55" s="72">
        <f aca="true" t="shared" si="26" ref="F55:Q55">F40+F49+F52+F50+F51+F54+F53</f>
        <v>-102</v>
      </c>
      <c r="G55" s="73">
        <f t="shared" si="26"/>
        <v>96</v>
      </c>
      <c r="H55" s="72">
        <f t="shared" si="26"/>
        <v>128.03000000000003</v>
      </c>
      <c r="I55" s="72">
        <f t="shared" si="26"/>
        <v>131.87789999999967</v>
      </c>
      <c r="J55" s="72">
        <f t="shared" si="26"/>
        <v>135.57948366666653</v>
      </c>
      <c r="K55" s="72">
        <f t="shared" si="26"/>
        <v>139.64686817666637</v>
      </c>
      <c r="L55" s="72">
        <f t="shared" si="26"/>
        <v>143.83627422196707</v>
      </c>
      <c r="M55" s="73">
        <f t="shared" si="26"/>
        <v>148.15136244862515</v>
      </c>
      <c r="N55" s="72">
        <f t="shared" si="26"/>
        <v>152.59590332208427</v>
      </c>
      <c r="O55" s="72">
        <f t="shared" si="26"/>
        <v>157.17378042174698</v>
      </c>
      <c r="P55" s="72">
        <f t="shared" si="26"/>
        <v>161.88899383440037</v>
      </c>
      <c r="Q55" s="72">
        <f t="shared" si="26"/>
        <v>166.74566364943018</v>
      </c>
      <c r="R55" s="82">
        <f aca="true" t="shared" si="27" ref="R55:AR55">Q55*(1+$O$8)</f>
        <v>171.7480335589131</v>
      </c>
      <c r="S55" s="82">
        <f t="shared" si="27"/>
        <v>176.9004745656805</v>
      </c>
      <c r="T55" s="82">
        <f t="shared" si="27"/>
        <v>182.20748880265091</v>
      </c>
      <c r="U55" s="82">
        <f t="shared" si="27"/>
        <v>187.67371346673045</v>
      </c>
      <c r="V55" s="82">
        <f t="shared" si="27"/>
        <v>193.30392487073237</v>
      </c>
      <c r="W55" s="82">
        <f t="shared" si="27"/>
        <v>199.10304261685434</v>
      </c>
      <c r="X55" s="82">
        <f t="shared" si="27"/>
        <v>205.07613389536</v>
      </c>
      <c r="Y55" s="82">
        <f t="shared" si="27"/>
        <v>211.2284179122208</v>
      </c>
      <c r="Z55" s="82">
        <f t="shared" si="27"/>
        <v>217.56527044958744</v>
      </c>
      <c r="AA55" s="82">
        <f t="shared" si="27"/>
        <v>224.09222856307508</v>
      </c>
      <c r="AB55" s="82">
        <f t="shared" si="27"/>
        <v>230.81499541996735</v>
      </c>
      <c r="AC55" s="82">
        <f t="shared" si="27"/>
        <v>237.73944528256638</v>
      </c>
      <c r="AD55" s="82">
        <f t="shared" si="27"/>
        <v>244.87162864104337</v>
      </c>
      <c r="AE55" s="82">
        <f t="shared" si="27"/>
        <v>252.21777750027468</v>
      </c>
      <c r="AF55" s="82">
        <f t="shared" si="27"/>
        <v>259.78431082528294</v>
      </c>
      <c r="AG55" s="82">
        <f t="shared" si="27"/>
        <v>267.5778401500414</v>
      </c>
      <c r="AH55" s="82">
        <f t="shared" si="27"/>
        <v>275.60517535454267</v>
      </c>
      <c r="AI55" s="82">
        <f t="shared" si="27"/>
        <v>283.87333061517893</v>
      </c>
      <c r="AJ55" s="82">
        <f t="shared" si="27"/>
        <v>292.3895305336343</v>
      </c>
      <c r="AK55" s="82">
        <f t="shared" si="27"/>
        <v>301.16121644964335</v>
      </c>
      <c r="AL55" s="82">
        <f t="shared" si="27"/>
        <v>310.19605294313266</v>
      </c>
      <c r="AM55" s="82">
        <f t="shared" si="27"/>
        <v>319.5019345314266</v>
      </c>
      <c r="AN55" s="82">
        <f t="shared" si="27"/>
        <v>329.0869925673694</v>
      </c>
      <c r="AO55" s="82">
        <f t="shared" si="27"/>
        <v>338.9596023443905</v>
      </c>
      <c r="AP55" s="82">
        <f t="shared" si="27"/>
        <v>349.1283904147222</v>
      </c>
      <c r="AQ55" s="82">
        <f t="shared" si="27"/>
        <v>359.6022421271639</v>
      </c>
      <c r="AR55" s="82">
        <f t="shared" si="27"/>
        <v>370.3903093909788</v>
      </c>
    </row>
    <row r="56" spans="1:23" s="7" customFormat="1" ht="12" customHeight="1">
      <c r="A56" s="54">
        <v>34</v>
      </c>
      <c r="B56" s="47"/>
      <c r="C56" s="47" t="s">
        <v>82</v>
      </c>
      <c r="D56" s="47"/>
      <c r="E56" s="72">
        <f aca="true" t="shared" si="28" ref="E56:Q56">E55+E36*(1-$F1)-E50</f>
        <v>110</v>
      </c>
      <c r="F56" s="72">
        <f t="shared" si="28"/>
        <v>-160</v>
      </c>
      <c r="G56" s="73">
        <f t="shared" si="28"/>
        <v>142.2</v>
      </c>
      <c r="H56" s="72">
        <f t="shared" si="28"/>
        <v>141.23000000000002</v>
      </c>
      <c r="I56" s="72">
        <f t="shared" si="28"/>
        <v>145.47389999999967</v>
      </c>
      <c r="J56" s="72">
        <f t="shared" si="28"/>
        <v>149.58336366666646</v>
      </c>
      <c r="K56" s="72">
        <f t="shared" si="28"/>
        <v>154.07086457666628</v>
      </c>
      <c r="L56" s="72">
        <f t="shared" si="28"/>
        <v>158.69299051396695</v>
      </c>
      <c r="M56" s="73">
        <f t="shared" si="28"/>
        <v>163.45378022938502</v>
      </c>
      <c r="N56" s="72">
        <f t="shared" si="28"/>
        <v>168.35739363626706</v>
      </c>
      <c r="O56" s="72">
        <f t="shared" si="28"/>
        <v>173.40811544535524</v>
      </c>
      <c r="P56" s="72">
        <f t="shared" si="28"/>
        <v>178.61035890871696</v>
      </c>
      <c r="Q56" s="61">
        <f t="shared" si="28"/>
        <v>183.96866967597617</v>
      </c>
      <c r="R56" s="66"/>
      <c r="S56" s="66"/>
      <c r="T56" s="66"/>
      <c r="U56" s="66"/>
      <c r="V56" s="66"/>
      <c r="W56" s="66"/>
    </row>
    <row r="57" spans="1:23" s="47" customFormat="1" ht="12" customHeight="1">
      <c r="A57" s="54">
        <v>35</v>
      </c>
      <c r="C57" s="47" t="s">
        <v>83</v>
      </c>
      <c r="E57" s="72">
        <f>E36-E50</f>
        <v>60</v>
      </c>
      <c r="F57" s="72">
        <f aca="true" t="shared" si="29" ref="F57:P57">F36-F50</f>
        <v>-40</v>
      </c>
      <c r="G57" s="73">
        <f t="shared" si="29"/>
        <v>66</v>
      </c>
      <c r="H57" s="72">
        <f t="shared" si="29"/>
        <v>33</v>
      </c>
      <c r="I57" s="72">
        <f t="shared" si="29"/>
        <v>33.989999999999995</v>
      </c>
      <c r="J57" s="72">
        <f t="shared" si="29"/>
        <v>35.00969999999994</v>
      </c>
      <c r="K57" s="72">
        <f t="shared" si="29"/>
        <v>36.059990999999926</v>
      </c>
      <c r="L57" s="72">
        <f t="shared" si="29"/>
        <v>37.14179072999987</v>
      </c>
      <c r="M57" s="73">
        <f t="shared" si="29"/>
        <v>38.25604445189987</v>
      </c>
      <c r="N57" s="72">
        <f>N36-N50</f>
        <v>39.403725785457</v>
      </c>
      <c r="O57" s="72">
        <f t="shared" si="29"/>
        <v>40.585837559020675</v>
      </c>
      <c r="P57" s="72">
        <f t="shared" si="29"/>
        <v>41.803412685791415</v>
      </c>
      <c r="Q57" s="90">
        <f>Q36-Q50+P57*(1+O$8)*(1+O$8)/(D146-O$8)</f>
        <v>1521.3655323449022</v>
      </c>
      <c r="R57" s="66"/>
      <c r="S57" s="66"/>
      <c r="T57" s="66"/>
      <c r="U57" s="66"/>
      <c r="V57" s="66"/>
      <c r="W57" s="66"/>
    </row>
    <row r="58" spans="1:23" s="7" customFormat="1" ht="12" customHeight="1">
      <c r="A58" s="54">
        <v>36</v>
      </c>
      <c r="B58" s="47"/>
      <c r="C58" s="47" t="s">
        <v>84</v>
      </c>
      <c r="D58" s="76"/>
      <c r="E58" s="72">
        <f>E55+E57</f>
        <v>128</v>
      </c>
      <c r="F58" s="72">
        <f aca="true" t="shared" si="30" ref="F58:P58">F55+F57</f>
        <v>-142</v>
      </c>
      <c r="G58" s="73">
        <f t="shared" si="30"/>
        <v>162</v>
      </c>
      <c r="H58" s="72">
        <f t="shared" si="30"/>
        <v>161.03000000000003</v>
      </c>
      <c r="I58" s="72">
        <f t="shared" si="30"/>
        <v>165.86789999999968</v>
      </c>
      <c r="J58" s="72">
        <f t="shared" si="30"/>
        <v>170.5891836666665</v>
      </c>
      <c r="K58" s="72">
        <f t="shared" si="30"/>
        <v>175.70685917666628</v>
      </c>
      <c r="L58" s="72">
        <f t="shared" si="30"/>
        <v>180.97806495196693</v>
      </c>
      <c r="M58" s="73">
        <f t="shared" si="30"/>
        <v>186.40740690052502</v>
      </c>
      <c r="N58" s="72">
        <f t="shared" si="30"/>
        <v>191.99962910754127</v>
      </c>
      <c r="O58" s="72">
        <f t="shared" si="30"/>
        <v>197.75961798076764</v>
      </c>
      <c r="P58" s="72">
        <f t="shared" si="30"/>
        <v>203.69240652019178</v>
      </c>
      <c r="Q58" s="4">
        <f>P58*(1+$O$8)</f>
        <v>209.80317871579754</v>
      </c>
      <c r="R58" s="66"/>
      <c r="S58" s="66"/>
      <c r="T58" s="66"/>
      <c r="U58" s="66"/>
      <c r="V58" s="66"/>
      <c r="W58" s="66"/>
    </row>
    <row r="59" spans="1:23" s="47" customFormat="1" ht="12" customHeight="1">
      <c r="A59" s="54">
        <v>37</v>
      </c>
      <c r="C59" s="106" t="s">
        <v>85</v>
      </c>
      <c r="D59" s="76"/>
      <c r="E59" s="28">
        <f>E48+E49</f>
        <v>298</v>
      </c>
      <c r="F59" s="28">
        <f aca="true" t="shared" si="31" ref="F59:Q59">F48+F49</f>
        <v>383</v>
      </c>
      <c r="G59" s="122">
        <f t="shared" si="31"/>
        <v>431</v>
      </c>
      <c r="H59" s="28">
        <f t="shared" si="31"/>
        <v>446.03000000000003</v>
      </c>
      <c r="I59" s="28">
        <f t="shared" si="31"/>
        <v>459.4179</v>
      </c>
      <c r="J59" s="28">
        <f t="shared" si="31"/>
        <v>472.9456836666667</v>
      </c>
      <c r="K59" s="28">
        <f t="shared" si="31"/>
        <v>487.13405417666667</v>
      </c>
      <c r="L59" s="28">
        <f t="shared" si="31"/>
        <v>501.7480758019666</v>
      </c>
      <c r="M59" s="122">
        <f t="shared" si="31"/>
        <v>516.8005180760257</v>
      </c>
      <c r="N59" s="28">
        <f t="shared" si="31"/>
        <v>532.3045336183063</v>
      </c>
      <c r="O59" s="28">
        <f t="shared" si="31"/>
        <v>548.2736696268557</v>
      </c>
      <c r="P59" s="28">
        <f t="shared" si="31"/>
        <v>564.7218797156613</v>
      </c>
      <c r="Q59" s="28">
        <f t="shared" si="31"/>
        <v>581.6635361071312</v>
      </c>
      <c r="R59" s="66"/>
      <c r="S59" s="66"/>
      <c r="T59" s="66"/>
      <c r="U59" s="66"/>
      <c r="V59" s="66"/>
      <c r="W59" s="66"/>
    </row>
    <row r="60" spans="1:23" s="7" customFormat="1" ht="12" customHeight="1">
      <c r="A60" s="65"/>
      <c r="B60" s="66"/>
      <c r="C60" s="66"/>
      <c r="D60" s="113"/>
      <c r="E60" s="74"/>
      <c r="F60" s="74"/>
      <c r="G60" s="75"/>
      <c r="H60" s="74"/>
      <c r="I60" s="74"/>
      <c r="J60" s="74"/>
      <c r="K60" s="74"/>
      <c r="L60" s="74"/>
      <c r="M60" s="74"/>
      <c r="N60" s="74"/>
      <c r="O60" s="74"/>
      <c r="P60" s="74"/>
      <c r="Q60" s="4"/>
      <c r="R60" s="66"/>
      <c r="S60" s="66"/>
      <c r="T60" s="66"/>
      <c r="U60" s="66"/>
      <c r="V60" s="66"/>
      <c r="W60" s="66"/>
    </row>
    <row r="61" spans="1:23" s="7" customFormat="1" ht="12" customHeight="1">
      <c r="A61" s="65"/>
      <c r="B61" s="66"/>
      <c r="C61" s="66"/>
      <c r="D61" s="113"/>
      <c r="E61" s="74"/>
      <c r="F61" s="74"/>
      <c r="G61" s="75"/>
      <c r="H61" s="74"/>
      <c r="I61" s="74"/>
      <c r="J61" s="74"/>
      <c r="K61" s="74"/>
      <c r="L61" s="74"/>
      <c r="M61" s="74"/>
      <c r="N61" s="74"/>
      <c r="O61" s="74"/>
      <c r="P61" s="74"/>
      <c r="Q61" s="4"/>
      <c r="R61" s="66"/>
      <c r="S61" s="66"/>
      <c r="T61" s="66"/>
      <c r="U61" s="66"/>
      <c r="V61" s="66"/>
      <c r="W61" s="66"/>
    </row>
    <row r="62" spans="1:23" s="7" customFormat="1" ht="12" customHeight="1">
      <c r="A62" s="65"/>
      <c r="B62" s="66"/>
      <c r="C62" s="66"/>
      <c r="D62" s="113"/>
      <c r="E62" s="74"/>
      <c r="F62" s="74"/>
      <c r="G62" s="75"/>
      <c r="H62" s="74"/>
      <c r="I62" s="74"/>
      <c r="J62" s="74"/>
      <c r="K62" s="74"/>
      <c r="L62" s="74"/>
      <c r="M62" s="74"/>
      <c r="N62" s="74"/>
      <c r="O62" s="74"/>
      <c r="P62" s="74"/>
      <c r="Q62" s="4"/>
      <c r="R62" s="66"/>
      <c r="S62" s="66"/>
      <c r="T62" s="66"/>
      <c r="U62" s="66"/>
      <c r="V62" s="66"/>
      <c r="W62" s="66"/>
    </row>
    <row r="63" spans="1:23" s="7" customFormat="1" ht="12" customHeight="1">
      <c r="A63" s="65"/>
      <c r="B63" s="66"/>
      <c r="C63" s="66"/>
      <c r="D63" s="113"/>
      <c r="E63" s="74"/>
      <c r="F63" s="74"/>
      <c r="G63" s="75"/>
      <c r="H63" s="74"/>
      <c r="I63" s="74"/>
      <c r="J63" s="74"/>
      <c r="K63" s="74"/>
      <c r="L63" s="74"/>
      <c r="M63" s="74"/>
      <c r="N63" s="74"/>
      <c r="O63" s="74"/>
      <c r="P63" s="74"/>
      <c r="Q63" s="4"/>
      <c r="R63" s="66"/>
      <c r="S63" s="66"/>
      <c r="T63" s="66"/>
      <c r="U63" s="66"/>
      <c r="V63" s="66"/>
      <c r="W63" s="66"/>
    </row>
    <row r="64" spans="1:23" s="7" customFormat="1" ht="12" customHeight="1">
      <c r="A64" s="65"/>
      <c r="B64" s="66"/>
      <c r="C64" s="66"/>
      <c r="D64" s="113"/>
      <c r="E64" s="74"/>
      <c r="F64" s="74"/>
      <c r="G64" s="75"/>
      <c r="H64" s="74"/>
      <c r="I64" s="74"/>
      <c r="J64" s="74"/>
      <c r="K64" s="74"/>
      <c r="L64" s="74"/>
      <c r="M64" s="74"/>
      <c r="N64" s="74"/>
      <c r="O64" s="74"/>
      <c r="P64" s="74"/>
      <c r="Q64" s="4"/>
      <c r="R64" s="66"/>
      <c r="S64" s="66"/>
      <c r="T64" s="66"/>
      <c r="U64" s="66"/>
      <c r="V64" s="66"/>
      <c r="W64" s="66"/>
    </row>
    <row r="65" spans="1:23" s="7" customFormat="1" ht="12" customHeight="1">
      <c r="A65" s="65"/>
      <c r="B65" s="66"/>
      <c r="C65" s="66"/>
      <c r="D65" s="113"/>
      <c r="E65" s="74"/>
      <c r="F65" s="74"/>
      <c r="G65" s="75"/>
      <c r="H65" s="74"/>
      <c r="I65" s="74"/>
      <c r="J65" s="74"/>
      <c r="K65" s="74"/>
      <c r="L65" s="74"/>
      <c r="M65" s="74"/>
      <c r="N65" s="74"/>
      <c r="O65" s="74"/>
      <c r="P65" s="74"/>
      <c r="Q65" s="4"/>
      <c r="R65" s="66"/>
      <c r="S65" s="66"/>
      <c r="T65" s="66"/>
      <c r="U65" s="66"/>
      <c r="V65" s="66"/>
      <c r="W65" s="66"/>
    </row>
    <row r="66" spans="1:23" s="7" customFormat="1" ht="12" customHeight="1">
      <c r="A66" s="65"/>
      <c r="B66" s="66"/>
      <c r="C66" s="66"/>
      <c r="D66" s="113"/>
      <c r="E66" s="74"/>
      <c r="F66" s="74"/>
      <c r="G66" s="75"/>
      <c r="H66" s="74"/>
      <c r="I66" s="74"/>
      <c r="J66" s="74"/>
      <c r="K66" s="74"/>
      <c r="L66" s="74"/>
      <c r="M66" s="74"/>
      <c r="N66" s="74"/>
      <c r="O66" s="74"/>
      <c r="P66" s="74"/>
      <c r="Q66" s="4"/>
      <c r="R66" s="66"/>
      <c r="S66" s="66"/>
      <c r="T66" s="66"/>
      <c r="U66" s="66"/>
      <c r="V66" s="66"/>
      <c r="W66" s="66"/>
    </row>
    <row r="67" spans="1:23" s="7" customFormat="1" ht="12" customHeight="1">
      <c r="A67" s="65"/>
      <c r="B67" s="66"/>
      <c r="C67" s="66"/>
      <c r="D67" s="113"/>
      <c r="E67" s="74"/>
      <c r="F67" s="74"/>
      <c r="G67" s="75"/>
      <c r="H67" s="74"/>
      <c r="I67" s="74"/>
      <c r="J67" s="74"/>
      <c r="K67" s="74"/>
      <c r="L67" s="74"/>
      <c r="M67" s="74"/>
      <c r="N67" s="74"/>
      <c r="O67" s="74"/>
      <c r="P67" s="74"/>
      <c r="Q67" s="4"/>
      <c r="R67" s="66"/>
      <c r="S67" s="66"/>
      <c r="T67" s="66"/>
      <c r="U67" s="66"/>
      <c r="V67" s="66"/>
      <c r="W67" s="66"/>
    </row>
    <row r="68" spans="1:23" s="7" customFormat="1" ht="12" customHeight="1">
      <c r="A68" s="65"/>
      <c r="B68" s="66"/>
      <c r="C68" s="66"/>
      <c r="D68" s="113"/>
      <c r="E68" s="74"/>
      <c r="F68" s="74"/>
      <c r="G68" s="75"/>
      <c r="H68" s="74"/>
      <c r="I68" s="74"/>
      <c r="J68" s="74"/>
      <c r="K68" s="74"/>
      <c r="L68" s="74"/>
      <c r="M68" s="74"/>
      <c r="N68" s="74"/>
      <c r="O68" s="74"/>
      <c r="P68" s="74"/>
      <c r="Q68" s="4"/>
      <c r="R68" s="66"/>
      <c r="S68" s="66"/>
      <c r="T68" s="66"/>
      <c r="U68" s="66"/>
      <c r="V68" s="66"/>
      <c r="W68" s="66"/>
    </row>
    <row r="69" spans="1:23" s="7" customFormat="1" ht="12" customHeight="1">
      <c r="A69" s="65"/>
      <c r="B69" s="66"/>
      <c r="C69" s="66"/>
      <c r="D69" s="113"/>
      <c r="E69" s="74"/>
      <c r="F69" s="74"/>
      <c r="G69" s="75"/>
      <c r="H69" s="74"/>
      <c r="I69" s="74"/>
      <c r="J69" s="74"/>
      <c r="K69" s="74"/>
      <c r="L69" s="74"/>
      <c r="M69" s="74"/>
      <c r="N69" s="74"/>
      <c r="O69" s="74"/>
      <c r="P69" s="74"/>
      <c r="Q69" s="4"/>
      <c r="R69" s="66"/>
      <c r="S69" s="66"/>
      <c r="T69" s="66"/>
      <c r="U69" s="66"/>
      <c r="V69" s="66"/>
      <c r="W69" s="66"/>
    </row>
    <row r="70" spans="1:23" s="7" customFormat="1" ht="12" customHeight="1">
      <c r="A70" s="65"/>
      <c r="B70" s="66"/>
      <c r="C70" s="66"/>
      <c r="D70" s="113"/>
      <c r="E70" s="74"/>
      <c r="F70" s="74"/>
      <c r="G70" s="75"/>
      <c r="H70" s="74"/>
      <c r="I70" s="74"/>
      <c r="J70" s="74"/>
      <c r="K70" s="74"/>
      <c r="L70" s="74"/>
      <c r="M70" s="74"/>
      <c r="N70" s="74"/>
      <c r="O70" s="74"/>
      <c r="P70" s="74"/>
      <c r="Q70" s="4"/>
      <c r="R70" s="66"/>
      <c r="S70" s="66"/>
      <c r="T70" s="66"/>
      <c r="U70" s="66"/>
      <c r="V70" s="66"/>
      <c r="W70" s="66"/>
    </row>
    <row r="71" spans="1:23" s="7" customFormat="1" ht="12" customHeight="1">
      <c r="A71" s="65"/>
      <c r="B71" s="66"/>
      <c r="C71" s="66"/>
      <c r="D71" s="113"/>
      <c r="E71" s="74"/>
      <c r="F71" s="74"/>
      <c r="G71" s="75"/>
      <c r="H71" s="74"/>
      <c r="I71" s="74"/>
      <c r="J71" s="74"/>
      <c r="K71" s="74"/>
      <c r="L71" s="74"/>
      <c r="M71" s="74"/>
      <c r="N71" s="74"/>
      <c r="O71" s="74"/>
      <c r="P71" s="74"/>
      <c r="Q71" s="4"/>
      <c r="R71" s="66"/>
      <c r="S71" s="66"/>
      <c r="T71" s="66"/>
      <c r="U71" s="66"/>
      <c r="V71" s="66"/>
      <c r="W71" s="66"/>
    </row>
    <row r="72" spans="1:23" s="7" customFormat="1" ht="12" customHeight="1">
      <c r="A72" s="65"/>
      <c r="B72" s="66"/>
      <c r="C72" s="66"/>
      <c r="D72" s="113"/>
      <c r="E72" s="74"/>
      <c r="F72" s="74"/>
      <c r="G72" s="75"/>
      <c r="H72" s="74"/>
      <c r="I72" s="74"/>
      <c r="J72" s="74"/>
      <c r="K72" s="74"/>
      <c r="L72" s="74"/>
      <c r="M72" s="74"/>
      <c r="N72" s="74"/>
      <c r="O72" s="74"/>
      <c r="P72" s="74"/>
      <c r="Q72" s="4"/>
      <c r="R72" s="66"/>
      <c r="S72" s="66"/>
      <c r="T72" s="66"/>
      <c r="U72" s="66"/>
      <c r="V72" s="66"/>
      <c r="W72" s="66"/>
    </row>
    <row r="73" spans="1:23" s="7" customFormat="1" ht="12" customHeight="1">
      <c r="A73" s="65"/>
      <c r="B73" s="66"/>
      <c r="C73" s="66"/>
      <c r="D73" s="113"/>
      <c r="E73" s="74"/>
      <c r="F73" s="74"/>
      <c r="G73" s="75"/>
      <c r="H73" s="74"/>
      <c r="I73" s="74"/>
      <c r="J73" s="74"/>
      <c r="K73" s="74"/>
      <c r="L73" s="74"/>
      <c r="M73" s="74"/>
      <c r="N73" s="74"/>
      <c r="O73" s="74"/>
      <c r="P73" s="74"/>
      <c r="Q73" s="4"/>
      <c r="R73" s="66"/>
      <c r="S73" s="66"/>
      <c r="T73" s="66"/>
      <c r="U73" s="66"/>
      <c r="V73" s="66"/>
      <c r="W73" s="66"/>
    </row>
    <row r="74" spans="1:23" s="7" customFormat="1" ht="12" customHeight="1">
      <c r="A74" s="65"/>
      <c r="B74" s="66"/>
      <c r="C74" s="66"/>
      <c r="D74" s="113"/>
      <c r="E74" s="74"/>
      <c r="F74" s="74"/>
      <c r="G74" s="75"/>
      <c r="H74" s="74"/>
      <c r="I74" s="74"/>
      <c r="J74" s="74"/>
      <c r="K74" s="74"/>
      <c r="L74" s="74"/>
      <c r="M74" s="74"/>
      <c r="N74" s="74"/>
      <c r="O74" s="74"/>
      <c r="P74" s="74"/>
      <c r="Q74" s="4"/>
      <c r="R74" s="66"/>
      <c r="S74" s="66"/>
      <c r="T74" s="66"/>
      <c r="U74" s="66"/>
      <c r="V74" s="66"/>
      <c r="W74" s="66"/>
    </row>
    <row r="75" spans="1:23" s="7" customFormat="1" ht="12" customHeight="1">
      <c r="A75" s="65"/>
      <c r="B75" s="66"/>
      <c r="C75" s="66"/>
      <c r="D75" s="113"/>
      <c r="E75" s="74"/>
      <c r="F75" s="74"/>
      <c r="G75" s="75"/>
      <c r="H75" s="74"/>
      <c r="I75" s="74"/>
      <c r="J75" s="74"/>
      <c r="K75" s="74"/>
      <c r="L75" s="74"/>
      <c r="M75" s="74"/>
      <c r="N75" s="74"/>
      <c r="O75" s="74"/>
      <c r="P75" s="74"/>
      <c r="Q75" s="4"/>
      <c r="R75" s="66"/>
      <c r="S75" s="66"/>
      <c r="T75" s="66"/>
      <c r="U75" s="66"/>
      <c r="V75" s="66"/>
      <c r="W75" s="66"/>
    </row>
    <row r="76" spans="1:23" s="7" customFormat="1" ht="12" customHeight="1">
      <c r="A76" s="65"/>
      <c r="B76" s="66"/>
      <c r="C76" s="66"/>
      <c r="D76" s="113"/>
      <c r="E76" s="74"/>
      <c r="F76" s="74"/>
      <c r="G76" s="75"/>
      <c r="H76" s="74"/>
      <c r="I76" s="74"/>
      <c r="J76" s="74"/>
      <c r="K76" s="74"/>
      <c r="L76" s="74"/>
      <c r="M76" s="74"/>
      <c r="N76" s="74"/>
      <c r="O76" s="74"/>
      <c r="P76" s="74"/>
      <c r="Q76" s="4"/>
      <c r="R76" s="66"/>
      <c r="S76" s="66"/>
      <c r="T76" s="66"/>
      <c r="U76" s="66"/>
      <c r="V76" s="66"/>
      <c r="W76" s="66"/>
    </row>
    <row r="77" spans="1:23" s="7" customFormat="1" ht="12" customHeight="1">
      <c r="A77" s="65"/>
      <c r="B77" s="66"/>
      <c r="C77" s="66"/>
      <c r="D77" s="113"/>
      <c r="E77" s="74"/>
      <c r="F77" s="74"/>
      <c r="G77" s="75"/>
      <c r="H77" s="74"/>
      <c r="I77" s="74"/>
      <c r="J77" s="74"/>
      <c r="K77" s="74"/>
      <c r="L77" s="74"/>
      <c r="M77" s="74"/>
      <c r="N77" s="74"/>
      <c r="O77" s="74"/>
      <c r="P77" s="74"/>
      <c r="Q77" s="4"/>
      <c r="R77" s="66"/>
      <c r="S77" s="66"/>
      <c r="T77" s="66"/>
      <c r="U77" s="66"/>
      <c r="V77" s="66"/>
      <c r="W77" s="66"/>
    </row>
    <row r="78" spans="1:23" s="7" customFormat="1" ht="12" customHeight="1">
      <c r="A78" s="65"/>
      <c r="B78" s="66"/>
      <c r="C78" s="66"/>
      <c r="D78" s="113"/>
      <c r="E78" s="74"/>
      <c r="F78" s="74"/>
      <c r="G78" s="75"/>
      <c r="H78" s="74"/>
      <c r="I78" s="74"/>
      <c r="J78" s="74"/>
      <c r="K78" s="74"/>
      <c r="L78" s="74"/>
      <c r="M78" s="74"/>
      <c r="N78" s="74"/>
      <c r="O78" s="74"/>
      <c r="P78" s="74"/>
      <c r="Q78" s="4"/>
      <c r="R78" s="66"/>
      <c r="S78" s="66"/>
      <c r="T78" s="66"/>
      <c r="U78" s="66"/>
      <c r="V78" s="66"/>
      <c r="W78" s="66"/>
    </row>
    <row r="79" spans="1:23" s="7" customFormat="1" ht="12" customHeight="1">
      <c r="A79" s="65"/>
      <c r="B79" s="66"/>
      <c r="C79" s="66"/>
      <c r="D79" s="113"/>
      <c r="E79" s="74"/>
      <c r="F79" s="74"/>
      <c r="G79" s="75"/>
      <c r="H79" s="74"/>
      <c r="I79" s="74"/>
      <c r="J79" s="74"/>
      <c r="K79" s="74"/>
      <c r="L79" s="74"/>
      <c r="M79" s="74"/>
      <c r="N79" s="74"/>
      <c r="O79" s="74"/>
      <c r="P79" s="74"/>
      <c r="Q79" s="4"/>
      <c r="R79" s="66"/>
      <c r="S79" s="66"/>
      <c r="T79" s="66"/>
      <c r="U79" s="66"/>
      <c r="V79" s="66"/>
      <c r="W79" s="66"/>
    </row>
    <row r="80" spans="1:23" s="7" customFormat="1" ht="12" customHeight="1">
      <c r="A80" s="65"/>
      <c r="B80" s="66"/>
      <c r="C80" s="66"/>
      <c r="D80" s="113"/>
      <c r="E80" s="74"/>
      <c r="F80" s="74"/>
      <c r="G80" s="75"/>
      <c r="H80" s="74"/>
      <c r="I80" s="74"/>
      <c r="J80" s="74"/>
      <c r="K80" s="74"/>
      <c r="L80" s="74"/>
      <c r="M80" s="74"/>
      <c r="N80" s="74"/>
      <c r="O80" s="74"/>
      <c r="P80" s="74"/>
      <c r="Q80" s="4"/>
      <c r="R80" s="66"/>
      <c r="S80" s="66"/>
      <c r="T80" s="66"/>
      <c r="U80" s="66"/>
      <c r="V80" s="66"/>
      <c r="W80" s="66"/>
    </row>
    <row r="81" spans="1:23" s="7" customFormat="1" ht="12" customHeight="1">
      <c r="A81" s="65"/>
      <c r="B81" s="66"/>
      <c r="C81" s="66"/>
      <c r="D81" s="113"/>
      <c r="E81" s="74"/>
      <c r="F81" s="74"/>
      <c r="G81" s="75"/>
      <c r="H81" s="74"/>
      <c r="I81" s="74"/>
      <c r="J81" s="74"/>
      <c r="K81" s="74"/>
      <c r="L81" s="74"/>
      <c r="M81" s="74"/>
      <c r="N81" s="74"/>
      <c r="O81" s="74"/>
      <c r="P81" s="74"/>
      <c r="Q81" s="4"/>
      <c r="R81" s="66"/>
      <c r="S81" s="66"/>
      <c r="T81" s="66"/>
      <c r="U81" s="66"/>
      <c r="V81" s="66"/>
      <c r="W81" s="66"/>
    </row>
    <row r="82" spans="1:23" s="7" customFormat="1" ht="12" customHeight="1">
      <c r="A82" s="65"/>
      <c r="B82" s="66"/>
      <c r="C82" s="66"/>
      <c r="D82" s="113"/>
      <c r="E82" s="74"/>
      <c r="F82" s="74"/>
      <c r="G82" s="75"/>
      <c r="H82" s="74"/>
      <c r="I82" s="74"/>
      <c r="J82" s="74"/>
      <c r="K82" s="74"/>
      <c r="L82" s="74"/>
      <c r="M82" s="74"/>
      <c r="N82" s="74"/>
      <c r="O82" s="74"/>
      <c r="P82" s="74"/>
      <c r="Q82" s="4"/>
      <c r="R82" s="66"/>
      <c r="S82" s="66"/>
      <c r="T82" s="66"/>
      <c r="U82" s="66"/>
      <c r="V82" s="66"/>
      <c r="W82" s="66"/>
    </row>
    <row r="83" spans="1:23" s="7" customFormat="1" ht="12" customHeight="1">
      <c r="A83" s="65"/>
      <c r="B83" s="66"/>
      <c r="C83" s="66"/>
      <c r="D83" s="113"/>
      <c r="E83" s="74"/>
      <c r="F83" s="74"/>
      <c r="G83" s="75"/>
      <c r="H83" s="74"/>
      <c r="I83" s="74"/>
      <c r="J83" s="74"/>
      <c r="K83" s="74"/>
      <c r="L83" s="74"/>
      <c r="M83" s="74"/>
      <c r="N83" s="74"/>
      <c r="O83" s="74"/>
      <c r="P83" s="74"/>
      <c r="Q83" s="4"/>
      <c r="R83" s="66"/>
      <c r="S83" s="66"/>
      <c r="T83" s="66"/>
      <c r="U83" s="66"/>
      <c r="V83" s="66"/>
      <c r="W83" s="66"/>
    </row>
    <row r="84" spans="1:23" s="7" customFormat="1" ht="12" customHeight="1">
      <c r="A84" s="65"/>
      <c r="B84" s="66"/>
      <c r="C84" s="66"/>
      <c r="D84" s="113"/>
      <c r="E84" s="74"/>
      <c r="F84" s="74"/>
      <c r="G84" s="75"/>
      <c r="H84" s="74"/>
      <c r="I84" s="74"/>
      <c r="J84" s="74"/>
      <c r="K84" s="74"/>
      <c r="L84" s="74"/>
      <c r="M84" s="74"/>
      <c r="N84" s="74"/>
      <c r="O84" s="74"/>
      <c r="P84" s="74"/>
      <c r="Q84" s="4"/>
      <c r="R84" s="66"/>
      <c r="S84" s="66"/>
      <c r="T84" s="66"/>
      <c r="U84" s="66"/>
      <c r="V84" s="66"/>
      <c r="W84" s="66"/>
    </row>
    <row r="85" spans="1:17" ht="12.75">
      <c r="A85" s="20"/>
      <c r="D85" s="27"/>
      <c r="E85" s="27"/>
      <c r="F85" s="27"/>
      <c r="G85" s="32"/>
      <c r="H85" s="21"/>
      <c r="I85" s="21" t="s">
        <v>86</v>
      </c>
      <c r="J85" s="63"/>
      <c r="K85" s="27"/>
      <c r="L85" s="27"/>
      <c r="M85" s="32"/>
      <c r="N85" s="27"/>
      <c r="O85" s="27"/>
      <c r="P85" s="27"/>
      <c r="Q85" s="27"/>
    </row>
    <row r="86" spans="1:17" ht="12" customHeight="1">
      <c r="A86" s="20"/>
      <c r="D86" s="27"/>
      <c r="E86" s="27"/>
      <c r="F86" s="27"/>
      <c r="G86" s="32"/>
      <c r="H86" s="21"/>
      <c r="I86" s="27"/>
      <c r="J86" s="27"/>
      <c r="K86" s="27"/>
      <c r="L86" s="27"/>
      <c r="M86" s="32"/>
      <c r="N86" s="27"/>
      <c r="O86" s="27"/>
      <c r="P86" s="27"/>
      <c r="Q86" s="27"/>
    </row>
    <row r="87" spans="1:17" ht="12" customHeight="1" thickBot="1">
      <c r="A87" s="20"/>
      <c r="B87" s="110" t="s">
        <v>87</v>
      </c>
      <c r="D87" s="127">
        <v>0</v>
      </c>
      <c r="E87" s="127">
        <v>1</v>
      </c>
      <c r="F87" s="127">
        <f aca="true" t="shared" si="32" ref="F87:O87">E87+1</f>
        <v>2</v>
      </c>
      <c r="G87" s="137">
        <f t="shared" si="32"/>
        <v>3</v>
      </c>
      <c r="H87" s="127">
        <f t="shared" si="32"/>
        <v>4</v>
      </c>
      <c r="I87" s="127">
        <f t="shared" si="32"/>
        <v>5</v>
      </c>
      <c r="J87" s="127">
        <f t="shared" si="32"/>
        <v>6</v>
      </c>
      <c r="K87" s="127">
        <f t="shared" si="32"/>
        <v>7</v>
      </c>
      <c r="L87" s="127">
        <f t="shared" si="32"/>
        <v>8</v>
      </c>
      <c r="M87" s="137">
        <f t="shared" si="32"/>
        <v>9</v>
      </c>
      <c r="N87" s="127">
        <f t="shared" si="32"/>
        <v>10</v>
      </c>
      <c r="O87" s="127">
        <f t="shared" si="32"/>
        <v>11</v>
      </c>
      <c r="P87" s="127">
        <f>O87+1</f>
        <v>12</v>
      </c>
      <c r="Q87" s="27">
        <f>P87+1</f>
        <v>13</v>
      </c>
    </row>
    <row r="88" spans="1:23" s="132" customFormat="1" ht="12" customHeight="1" thickBot="1">
      <c r="A88" s="19"/>
      <c r="B88" s="139"/>
      <c r="C88" s="140" t="s">
        <v>88</v>
      </c>
      <c r="D88" s="139"/>
      <c r="E88" s="141">
        <f aca="true" t="shared" si="33" ref="E88:Q88">E26/D26-1</f>
        <v>0.07499999999999996</v>
      </c>
      <c r="F88" s="141">
        <f t="shared" si="33"/>
        <v>0.19767441860465107</v>
      </c>
      <c r="G88" s="142">
        <f t="shared" si="33"/>
        <v>0.06796116504854366</v>
      </c>
      <c r="H88" s="141">
        <f t="shared" si="33"/>
        <v>0.030000000000000027</v>
      </c>
      <c r="I88" s="141">
        <f t="shared" si="33"/>
        <v>0.030000000000000027</v>
      </c>
      <c r="J88" s="141">
        <f t="shared" si="33"/>
        <v>0.030000000000000027</v>
      </c>
      <c r="K88" s="141">
        <f t="shared" si="33"/>
        <v>0.030000000000000027</v>
      </c>
      <c r="L88" s="141">
        <f t="shared" si="33"/>
        <v>0.030000000000000027</v>
      </c>
      <c r="M88" s="142">
        <f t="shared" si="33"/>
        <v>0.030000000000000027</v>
      </c>
      <c r="N88" s="141">
        <f t="shared" si="33"/>
        <v>0.030000000000000027</v>
      </c>
      <c r="O88" s="141">
        <f t="shared" si="33"/>
        <v>0.030000000000000027</v>
      </c>
      <c r="P88" s="141">
        <f t="shared" si="33"/>
        <v>0.030000000000000027</v>
      </c>
      <c r="Q88" s="141">
        <f t="shared" si="33"/>
        <v>0.030000000000000027</v>
      </c>
      <c r="R88" s="131"/>
      <c r="S88" s="131"/>
      <c r="T88" s="131"/>
      <c r="U88" s="131"/>
      <c r="V88" s="131"/>
      <c r="W88" s="131"/>
    </row>
    <row r="89" spans="1:40" ht="12" customHeight="1">
      <c r="A89" s="20"/>
      <c r="C89" s="6" t="s">
        <v>89</v>
      </c>
      <c r="D89" s="6"/>
      <c r="E89" s="11"/>
      <c r="F89" s="11">
        <f aca="true" t="shared" si="34" ref="F89:O90">F55/E55-1</f>
        <v>-2.5</v>
      </c>
      <c r="G89" s="15">
        <f t="shared" si="34"/>
        <v>-1.9411764705882353</v>
      </c>
      <c r="H89" s="11">
        <f t="shared" si="34"/>
        <v>0.33364583333333364</v>
      </c>
      <c r="I89" s="11">
        <f t="shared" si="34"/>
        <v>0.030054674685617844</v>
      </c>
      <c r="J89" s="11">
        <f t="shared" si="34"/>
        <v>0.02806826364892734</v>
      </c>
      <c r="K89" s="11">
        <f t="shared" si="34"/>
        <v>0.029999999999998916</v>
      </c>
      <c r="L89" s="11">
        <f t="shared" si="34"/>
        <v>0.030000000000005134</v>
      </c>
      <c r="M89" s="15">
        <f t="shared" si="34"/>
        <v>0.029999999999993587</v>
      </c>
      <c r="N89" s="96">
        <f t="shared" si="34"/>
        <v>0.03000000000000247</v>
      </c>
      <c r="O89" s="11">
        <f t="shared" si="34"/>
        <v>0.030000000000001137</v>
      </c>
      <c r="P89" s="11">
        <f>P55/O55-1</f>
        <v>0.030000000000006244</v>
      </c>
      <c r="Q89" s="11">
        <f>Q55/P55-1</f>
        <v>0.029999999999986482</v>
      </c>
      <c r="R89" s="180">
        <f aca="true" t="shared" si="35" ref="R89:AN89">Q89</f>
        <v>0.029999999999986482</v>
      </c>
      <c r="S89" s="180">
        <f t="shared" si="35"/>
        <v>0.029999999999986482</v>
      </c>
      <c r="T89" s="180">
        <f t="shared" si="35"/>
        <v>0.029999999999986482</v>
      </c>
      <c r="U89" s="180">
        <f t="shared" si="35"/>
        <v>0.029999999999986482</v>
      </c>
      <c r="V89" s="180">
        <f t="shared" si="35"/>
        <v>0.029999999999986482</v>
      </c>
      <c r="W89" s="180">
        <f t="shared" si="35"/>
        <v>0.029999999999986482</v>
      </c>
      <c r="X89" s="180">
        <f t="shared" si="35"/>
        <v>0.029999999999986482</v>
      </c>
      <c r="Y89" s="180">
        <f t="shared" si="35"/>
        <v>0.029999999999986482</v>
      </c>
      <c r="Z89" s="180">
        <f t="shared" si="35"/>
        <v>0.029999999999986482</v>
      </c>
      <c r="AA89" s="180">
        <f t="shared" si="35"/>
        <v>0.029999999999986482</v>
      </c>
      <c r="AB89" s="180">
        <f t="shared" si="35"/>
        <v>0.029999999999986482</v>
      </c>
      <c r="AC89" s="180">
        <f t="shared" si="35"/>
        <v>0.029999999999986482</v>
      </c>
      <c r="AD89" s="180">
        <f t="shared" si="35"/>
        <v>0.029999999999986482</v>
      </c>
      <c r="AE89" s="180">
        <f t="shared" si="35"/>
        <v>0.029999999999986482</v>
      </c>
      <c r="AF89" s="180">
        <f t="shared" si="35"/>
        <v>0.029999999999986482</v>
      </c>
      <c r="AG89" s="180">
        <f t="shared" si="35"/>
        <v>0.029999999999986482</v>
      </c>
      <c r="AH89" s="180">
        <f t="shared" si="35"/>
        <v>0.029999999999986482</v>
      </c>
      <c r="AI89" s="180">
        <f t="shared" si="35"/>
        <v>0.029999999999986482</v>
      </c>
      <c r="AJ89" s="180">
        <f t="shared" si="35"/>
        <v>0.029999999999986482</v>
      </c>
      <c r="AK89" s="180">
        <f t="shared" si="35"/>
        <v>0.029999999999986482</v>
      </c>
      <c r="AL89" s="180">
        <f t="shared" si="35"/>
        <v>0.029999999999986482</v>
      </c>
      <c r="AM89" s="180">
        <f t="shared" si="35"/>
        <v>0.029999999999986482</v>
      </c>
      <c r="AN89" s="180">
        <f t="shared" si="35"/>
        <v>0.029999999999986482</v>
      </c>
    </row>
    <row r="90" spans="1:23" s="51" customFormat="1" ht="12" customHeight="1" thickBot="1">
      <c r="A90" s="54"/>
      <c r="C90" s="68" t="s">
        <v>90</v>
      </c>
      <c r="D90" s="68"/>
      <c r="E90" s="69"/>
      <c r="F90" s="69">
        <f t="shared" si="34"/>
        <v>-2.4545454545454546</v>
      </c>
      <c r="G90" s="70">
        <f t="shared" si="34"/>
        <v>-1.88875</v>
      </c>
      <c r="H90" s="69">
        <f t="shared" si="34"/>
        <v>-0.006821378340365447</v>
      </c>
      <c r="I90" s="69">
        <f t="shared" si="34"/>
        <v>0.03004956454010954</v>
      </c>
      <c r="J90" s="69">
        <f t="shared" si="34"/>
        <v>0.028248803851871562</v>
      </c>
      <c r="K90" s="69">
        <f t="shared" si="34"/>
        <v>0.029999999999998916</v>
      </c>
      <c r="L90" s="69">
        <f t="shared" si="34"/>
        <v>0.030000000000004468</v>
      </c>
      <c r="M90" s="70">
        <f t="shared" si="34"/>
        <v>0.02999999999999403</v>
      </c>
      <c r="N90" s="97">
        <f t="shared" si="34"/>
        <v>0.030000000000002913</v>
      </c>
      <c r="O90" s="69">
        <f t="shared" si="34"/>
        <v>0.030000000000000915</v>
      </c>
      <c r="P90" s="69">
        <f>P56/O56-1</f>
        <v>0.030000000000006244</v>
      </c>
      <c r="Q90" s="69">
        <f>Q56/P56-1</f>
        <v>0.029999999999987148</v>
      </c>
      <c r="R90" s="82"/>
      <c r="S90" s="82"/>
      <c r="T90" s="82"/>
      <c r="U90" s="82"/>
      <c r="V90" s="82"/>
      <c r="W90" s="82"/>
    </row>
    <row r="91" spans="1:17" s="82" customFormat="1" ht="12" customHeight="1" thickBot="1">
      <c r="A91" s="65"/>
      <c r="C91" s="103" t="s">
        <v>91</v>
      </c>
      <c r="D91" s="103"/>
      <c r="E91" s="138"/>
      <c r="F91" s="11">
        <f aca="true" t="shared" si="36" ref="F91:Q91">F40/E40-1</f>
        <v>0.3571428571428572</v>
      </c>
      <c r="G91" s="15">
        <f t="shared" si="36"/>
        <v>0.21052631578947367</v>
      </c>
      <c r="H91" s="11">
        <f t="shared" si="36"/>
        <v>0.04304347826086952</v>
      </c>
      <c r="I91" s="11">
        <f t="shared" si="36"/>
        <v>0.03004168403501417</v>
      </c>
      <c r="J91" s="11">
        <f t="shared" si="36"/>
        <v>0.028527223699315485</v>
      </c>
      <c r="K91" s="11">
        <f t="shared" si="36"/>
        <v>0.029999999999999805</v>
      </c>
      <c r="L91" s="11">
        <f t="shared" si="36"/>
        <v>0.029999999999999805</v>
      </c>
      <c r="M91" s="15">
        <f t="shared" si="36"/>
        <v>0.03000000000000047</v>
      </c>
      <c r="N91" s="11">
        <f t="shared" si="36"/>
        <v>0.029999999999999583</v>
      </c>
      <c r="O91" s="11">
        <f t="shared" si="36"/>
        <v>0.030000000000000693</v>
      </c>
      <c r="P91" s="11">
        <f t="shared" si="36"/>
        <v>0.029999999999999583</v>
      </c>
      <c r="Q91" s="11">
        <f t="shared" si="36"/>
        <v>0.03000000000000025</v>
      </c>
    </row>
    <row r="92" spans="1:17" s="82" customFormat="1" ht="12" customHeight="1" thickBot="1">
      <c r="A92" s="65"/>
      <c r="C92" s="103" t="s">
        <v>92</v>
      </c>
      <c r="D92" s="103"/>
      <c r="E92" s="138"/>
      <c r="F92" s="11">
        <f aca="true" t="shared" si="37" ref="F92:Q92">F52/E52-1</f>
        <v>1.5</v>
      </c>
      <c r="G92" s="15">
        <f t="shared" si="37"/>
        <v>-0.4</v>
      </c>
      <c r="H92" s="11">
        <f t="shared" si="37"/>
        <v>0.11499999999999999</v>
      </c>
      <c r="I92" s="11">
        <f t="shared" si="37"/>
        <v>0.030000000000000915</v>
      </c>
      <c r="J92" s="11">
        <f t="shared" si="37"/>
        <v>0.029999999999999583</v>
      </c>
      <c r="K92" s="11">
        <f t="shared" si="37"/>
        <v>0.03000000000000047</v>
      </c>
      <c r="L92" s="11">
        <f t="shared" si="37"/>
        <v>0.029999999999998028</v>
      </c>
      <c r="M92" s="15">
        <f t="shared" si="37"/>
        <v>0.03000000000000269</v>
      </c>
      <c r="N92" s="186">
        <f t="shared" si="37"/>
        <v>0.029999999999998472</v>
      </c>
      <c r="O92" s="11">
        <f t="shared" si="37"/>
        <v>0.030000000000000027</v>
      </c>
      <c r="P92" s="11">
        <f t="shared" si="37"/>
        <v>0.029999999999997362</v>
      </c>
      <c r="Q92" s="11">
        <f t="shared" si="37"/>
        <v>0.030000000000005356</v>
      </c>
    </row>
    <row r="93" spans="1:17" s="82" customFormat="1" ht="12" customHeight="1">
      <c r="A93" s="65"/>
      <c r="C93" s="103" t="s">
        <v>93</v>
      </c>
      <c r="D93" s="103"/>
      <c r="E93" s="138"/>
      <c r="F93" s="11">
        <f aca="true" t="shared" si="38" ref="F93:Q93">F30/E30-1</f>
        <v>0.25</v>
      </c>
      <c r="G93" s="15">
        <f t="shared" si="38"/>
        <v>0.1333333333333333</v>
      </c>
      <c r="H93" s="11">
        <f t="shared" si="38"/>
        <v>0.030000000000000027</v>
      </c>
      <c r="I93" s="11">
        <f t="shared" si="38"/>
        <v>0.030000000000000027</v>
      </c>
      <c r="J93" s="11">
        <f t="shared" si="38"/>
        <v>0.030000000000000027</v>
      </c>
      <c r="K93" s="11">
        <f t="shared" si="38"/>
        <v>0.030000000000000027</v>
      </c>
      <c r="L93" s="11">
        <f t="shared" si="38"/>
        <v>0.030000000000000027</v>
      </c>
      <c r="M93" s="15">
        <f t="shared" si="38"/>
        <v>0.030000000000000027</v>
      </c>
      <c r="N93" s="11">
        <f t="shared" si="38"/>
        <v>0.030000000000000027</v>
      </c>
      <c r="O93" s="11">
        <f t="shared" si="38"/>
        <v>0.030000000000000027</v>
      </c>
      <c r="P93" s="11">
        <f t="shared" si="38"/>
        <v>0.030000000000000027</v>
      </c>
      <c r="Q93" s="11">
        <f t="shared" si="38"/>
        <v>0.030000000000000027</v>
      </c>
    </row>
    <row r="94" spans="1:17" s="82" customFormat="1" ht="12" customHeight="1">
      <c r="A94" s="65"/>
      <c r="C94" s="103" t="s">
        <v>94</v>
      </c>
      <c r="D94" s="103"/>
      <c r="E94" s="138"/>
      <c r="F94" s="11">
        <f aca="true" t="shared" si="39" ref="F94:Q94">F49/E49-1</f>
        <v>0.25</v>
      </c>
      <c r="G94" s="15">
        <f t="shared" si="39"/>
        <v>0.08000000000000007</v>
      </c>
      <c r="H94" s="11">
        <f t="shared" si="39"/>
        <v>0.030000000000000027</v>
      </c>
      <c r="I94" s="11">
        <f t="shared" si="39"/>
        <v>0.030000000000000027</v>
      </c>
      <c r="J94" s="11">
        <f t="shared" si="39"/>
        <v>0.030000000000000027</v>
      </c>
      <c r="K94" s="11">
        <f t="shared" si="39"/>
        <v>0.030000000000000027</v>
      </c>
      <c r="L94" s="11">
        <f t="shared" si="39"/>
        <v>0.030000000000000027</v>
      </c>
      <c r="M94" s="15">
        <f t="shared" si="39"/>
        <v>0.030000000000000027</v>
      </c>
      <c r="N94" s="11">
        <f t="shared" si="39"/>
        <v>0.030000000000000027</v>
      </c>
      <c r="O94" s="11">
        <f t="shared" si="39"/>
        <v>0.030000000000000027</v>
      </c>
      <c r="P94" s="11">
        <f t="shared" si="39"/>
        <v>0.030000000000000027</v>
      </c>
      <c r="Q94" s="11">
        <f t="shared" si="39"/>
        <v>0.030000000000000027</v>
      </c>
    </row>
    <row r="95" spans="1:17" s="82" customFormat="1" ht="12" customHeight="1">
      <c r="A95" s="65"/>
      <c r="C95" s="103" t="s">
        <v>95</v>
      </c>
      <c r="D95" s="103"/>
      <c r="E95" s="11">
        <f>E16/D16-1</f>
        <v>0</v>
      </c>
      <c r="F95" s="11">
        <f>F16/E16-1</f>
        <v>0.15625</v>
      </c>
      <c r="G95" s="15">
        <f aca="true" t="shared" si="40" ref="G95:Q95">G16/F16-1</f>
        <v>0.016216216216216273</v>
      </c>
      <c r="H95" s="11">
        <f t="shared" si="40"/>
        <v>0.030000000000000027</v>
      </c>
      <c r="I95" s="11">
        <f t="shared" si="40"/>
        <v>0.030000000000000027</v>
      </c>
      <c r="J95" s="11">
        <f t="shared" si="40"/>
        <v>0.030000000000000027</v>
      </c>
      <c r="K95" s="11">
        <f t="shared" si="40"/>
        <v>0.030000000000000027</v>
      </c>
      <c r="L95" s="11">
        <f t="shared" si="40"/>
        <v>0.030000000000000027</v>
      </c>
      <c r="M95" s="15">
        <f t="shared" si="40"/>
        <v>0.030000000000000027</v>
      </c>
      <c r="N95" s="11">
        <f t="shared" si="40"/>
        <v>0.030000000000000027</v>
      </c>
      <c r="O95" s="11">
        <f t="shared" si="40"/>
        <v>0.030000000000000027</v>
      </c>
      <c r="P95" s="11">
        <f t="shared" si="40"/>
        <v>0.030000000000000027</v>
      </c>
      <c r="Q95" s="11">
        <f t="shared" si="40"/>
        <v>0.030000000000000027</v>
      </c>
    </row>
    <row r="96" spans="1:17" s="82" customFormat="1" ht="12" customHeight="1">
      <c r="A96" s="65"/>
      <c r="C96" s="103" t="s">
        <v>96</v>
      </c>
      <c r="D96" s="103"/>
      <c r="E96" s="11">
        <f>(E16+E26)/(D16+D26)-1</f>
        <v>0.014999999999999902</v>
      </c>
      <c r="F96" s="11">
        <f>(F16+F26)/(E16+E26)-1</f>
        <v>0.1650246305418719</v>
      </c>
      <c r="G96" s="15">
        <f aca="true" t="shared" si="41" ref="G96:Q96">(G16+G26)/(F16+F26)-1</f>
        <v>0.02748414376321362</v>
      </c>
      <c r="H96" s="11">
        <f t="shared" si="41"/>
        <v>0.030000000000000027</v>
      </c>
      <c r="I96" s="11">
        <f t="shared" si="41"/>
        <v>0.030000000000000027</v>
      </c>
      <c r="J96" s="11">
        <f t="shared" si="41"/>
        <v>0.03000000000000025</v>
      </c>
      <c r="K96" s="11">
        <f t="shared" si="41"/>
        <v>0.030000000000000027</v>
      </c>
      <c r="L96" s="11">
        <f t="shared" si="41"/>
        <v>0.030000000000000027</v>
      </c>
      <c r="M96" s="15">
        <f t="shared" si="41"/>
        <v>0.030000000000000027</v>
      </c>
      <c r="N96" s="11">
        <f t="shared" si="41"/>
        <v>0.03000000000000025</v>
      </c>
      <c r="O96" s="11">
        <f t="shared" si="41"/>
        <v>0.030000000000000027</v>
      </c>
      <c r="P96" s="11">
        <f t="shared" si="41"/>
        <v>0.030000000000000027</v>
      </c>
      <c r="Q96" s="11">
        <f t="shared" si="41"/>
        <v>0.030000000000000027</v>
      </c>
    </row>
    <row r="97" spans="1:17" s="82" customFormat="1" ht="12" customHeight="1">
      <c r="A97" s="65"/>
      <c r="C97" s="103" t="s">
        <v>97</v>
      </c>
      <c r="D97" s="103"/>
      <c r="E97" s="11">
        <f>E18/D18-1</f>
        <v>0.014999999999999902</v>
      </c>
      <c r="F97" s="11">
        <f>F18/E18-1</f>
        <v>0.1650246305418719</v>
      </c>
      <c r="G97" s="15">
        <f aca="true" t="shared" si="42" ref="G97:Q97">G18/F18-1</f>
        <v>0.02748414376321362</v>
      </c>
      <c r="H97" s="11">
        <f t="shared" si="42"/>
        <v>0.030000000000000027</v>
      </c>
      <c r="I97" s="11">
        <f t="shared" si="42"/>
        <v>0.030000000000000027</v>
      </c>
      <c r="J97" s="11">
        <f t="shared" si="42"/>
        <v>0.03000000000000025</v>
      </c>
      <c r="K97" s="11">
        <f t="shared" si="42"/>
        <v>0.030000000000000027</v>
      </c>
      <c r="L97" s="11">
        <f t="shared" si="42"/>
        <v>0.030000000000000027</v>
      </c>
      <c r="M97" s="15">
        <f t="shared" si="42"/>
        <v>0.030000000000000027</v>
      </c>
      <c r="N97" s="11">
        <f t="shared" si="42"/>
        <v>0.03000000000000025</v>
      </c>
      <c r="O97" s="11">
        <f t="shared" si="42"/>
        <v>0.030000000000000027</v>
      </c>
      <c r="P97" s="11">
        <f t="shared" si="42"/>
        <v>0.030000000000000027</v>
      </c>
      <c r="Q97" s="11">
        <f t="shared" si="42"/>
        <v>0.030000000000000027</v>
      </c>
    </row>
    <row r="98" spans="1:17" s="82" customFormat="1" ht="12" customHeight="1">
      <c r="A98" s="65"/>
      <c r="B98" s="82" t="s">
        <v>98</v>
      </c>
      <c r="C98" s="103"/>
      <c r="D98" s="103"/>
      <c r="E98" s="11">
        <f>(T55/E55)^(1/15)-1</f>
        <v>0.06791614911769184</v>
      </c>
      <c r="F98" s="11">
        <f aca="true" t="shared" si="43" ref="F98:Q98">(U55/F55)^(1/15)-1</f>
        <v>-2.041486276540374</v>
      </c>
      <c r="G98" s="15">
        <f t="shared" si="43"/>
        <v>0.047766790799843806</v>
      </c>
      <c r="H98" s="11">
        <f t="shared" si="43"/>
        <v>0.02987474915980659</v>
      </c>
      <c r="I98" s="11">
        <f t="shared" si="43"/>
        <v>0.029871104727179798</v>
      </c>
      <c r="J98" s="11">
        <f t="shared" si="43"/>
        <v>0.029999999999999583</v>
      </c>
      <c r="K98" s="11">
        <f t="shared" si="43"/>
        <v>0.029999999999999583</v>
      </c>
      <c r="L98" s="11">
        <f t="shared" si="43"/>
        <v>0.02999999999999936</v>
      </c>
      <c r="M98" s="15">
        <f t="shared" si="43"/>
        <v>0.029999999999999805</v>
      </c>
      <c r="N98" s="11">
        <f t="shared" si="43"/>
        <v>0.029999999999999583</v>
      </c>
      <c r="O98" s="11">
        <f t="shared" si="43"/>
        <v>0.029999999999999583</v>
      </c>
      <c r="P98" s="11">
        <f t="shared" si="43"/>
        <v>0.02999999999999914</v>
      </c>
      <c r="Q98" s="11">
        <f t="shared" si="43"/>
        <v>0.030000000000000027</v>
      </c>
    </row>
    <row r="99" spans="1:17" s="82" customFormat="1" ht="12" customHeight="1">
      <c r="A99" s="65"/>
      <c r="B99" s="82" t="s">
        <v>99</v>
      </c>
      <c r="C99" s="103"/>
      <c r="D99" s="103"/>
      <c r="E99" s="11">
        <f>(J55/E55)^(1/5)-1</f>
        <v>0.14798711239541484</v>
      </c>
      <c r="F99" s="11">
        <f aca="true" t="shared" si="44" ref="F99:Q99">(K55/F55)^(1/5)-1</f>
        <v>-2.0648445334503123</v>
      </c>
      <c r="G99" s="15">
        <f t="shared" si="44"/>
        <v>0.08422505343243247</v>
      </c>
      <c r="H99" s="11">
        <f t="shared" si="44"/>
        <v>0.02962429317011095</v>
      </c>
      <c r="I99" s="11">
        <f t="shared" si="44"/>
        <v>0.029613362569788304</v>
      </c>
      <c r="J99" s="11">
        <f t="shared" si="44"/>
        <v>0.03000000000000025</v>
      </c>
      <c r="K99" s="11">
        <f t="shared" si="44"/>
        <v>0.030000000000001803</v>
      </c>
      <c r="L99" s="11">
        <f t="shared" si="44"/>
        <v>0.029999999999998028</v>
      </c>
      <c r="M99" s="15">
        <f t="shared" si="44"/>
        <v>0.02999999999999936</v>
      </c>
      <c r="N99" s="11">
        <f t="shared" si="44"/>
        <v>0.029999999999998694</v>
      </c>
      <c r="O99" s="11">
        <f t="shared" si="44"/>
        <v>0.029999999999998472</v>
      </c>
      <c r="P99" s="11">
        <f t="shared" si="44"/>
        <v>0.029999999999997362</v>
      </c>
      <c r="Q99" s="11">
        <f t="shared" si="44"/>
        <v>0.030000000000000027</v>
      </c>
    </row>
    <row r="100" spans="1:17" s="82" customFormat="1" ht="12" customHeight="1">
      <c r="A100" s="65"/>
      <c r="B100" s="179" t="s">
        <v>100</v>
      </c>
      <c r="C100" s="103"/>
      <c r="D100" s="103"/>
      <c r="E100" s="11"/>
      <c r="F100" s="11"/>
      <c r="G100" s="15"/>
      <c r="H100" s="11"/>
      <c r="I100" s="11"/>
      <c r="J100" s="11"/>
      <c r="K100" s="11"/>
      <c r="L100" s="11"/>
      <c r="M100" s="15"/>
      <c r="N100" s="11"/>
      <c r="O100" s="11"/>
      <c r="P100" s="11"/>
      <c r="Q100" s="11"/>
    </row>
    <row r="101" spans="1:38" s="82" customFormat="1" ht="12" customHeight="1">
      <c r="A101" s="65"/>
      <c r="C101" s="103" t="s">
        <v>101</v>
      </c>
      <c r="D101" s="103"/>
      <c r="E101" s="143">
        <f>E11/E30*365</f>
        <v>0</v>
      </c>
      <c r="F101" s="143">
        <f aca="true" t="shared" si="45" ref="F101:Q101">F11/F30*365</f>
        <v>0</v>
      </c>
      <c r="G101" s="169">
        <f t="shared" si="45"/>
        <v>0</v>
      </c>
      <c r="H101" s="143">
        <f t="shared" si="45"/>
        <v>0</v>
      </c>
      <c r="I101" s="143">
        <f t="shared" si="45"/>
        <v>0</v>
      </c>
      <c r="J101" s="143">
        <f t="shared" si="45"/>
        <v>0</v>
      </c>
      <c r="K101" s="143">
        <f t="shared" si="45"/>
        <v>0</v>
      </c>
      <c r="L101" s="143">
        <f t="shared" si="45"/>
        <v>0</v>
      </c>
      <c r="M101" s="169">
        <f t="shared" si="45"/>
        <v>0</v>
      </c>
      <c r="N101" s="143">
        <f t="shared" si="45"/>
        <v>0</v>
      </c>
      <c r="O101" s="143">
        <f t="shared" si="45"/>
        <v>0</v>
      </c>
      <c r="P101" s="143">
        <f t="shared" si="45"/>
        <v>0</v>
      </c>
      <c r="Q101" s="143">
        <f t="shared" si="45"/>
        <v>0</v>
      </c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</row>
    <row r="102" spans="1:38" s="82" customFormat="1" ht="12" customHeight="1" hidden="1">
      <c r="A102" s="65"/>
      <c r="C102" s="103" t="s">
        <v>102</v>
      </c>
      <c r="D102" s="103"/>
      <c r="E102" s="143">
        <f aca="true" t="shared" si="46" ref="E102:Q102">E12-D12+E31</f>
        <v>1200</v>
      </c>
      <c r="F102" s="143">
        <f t="shared" si="46"/>
        <v>1500</v>
      </c>
      <c r="G102" s="169">
        <f t="shared" si="46"/>
        <v>1700</v>
      </c>
      <c r="H102" s="143">
        <f t="shared" si="46"/>
        <v>1751</v>
      </c>
      <c r="I102" s="143">
        <f t="shared" si="46"/>
        <v>1803.53</v>
      </c>
      <c r="J102" s="143">
        <f t="shared" si="46"/>
        <v>1857.6359</v>
      </c>
      <c r="K102" s="143">
        <f t="shared" si="46"/>
        <v>1913.364977</v>
      </c>
      <c r="L102" s="143">
        <f t="shared" si="46"/>
        <v>1970.76592631</v>
      </c>
      <c r="M102" s="169">
        <f t="shared" si="46"/>
        <v>2029.8889040993</v>
      </c>
      <c r="N102" s="143">
        <f t="shared" si="46"/>
        <v>2090.785571222279</v>
      </c>
      <c r="O102" s="143">
        <f t="shared" si="46"/>
        <v>2153.5091383589474</v>
      </c>
      <c r="P102" s="143">
        <f t="shared" si="46"/>
        <v>2218.1144125097157</v>
      </c>
      <c r="Q102" s="143">
        <f t="shared" si="46"/>
        <v>2284.6578448850073</v>
      </c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</row>
    <row r="103" spans="1:38" s="82" customFormat="1" ht="12" customHeight="1">
      <c r="A103" s="65"/>
      <c r="C103" s="103" t="s">
        <v>103</v>
      </c>
      <c r="D103" s="103"/>
      <c r="E103" s="143">
        <f>E20/E102*365</f>
        <v>0</v>
      </c>
      <c r="F103" s="143">
        <f aca="true" t="shared" si="47" ref="F103:Q103">F20/F102*365</f>
        <v>0</v>
      </c>
      <c r="G103" s="169">
        <f t="shared" si="47"/>
        <v>0</v>
      </c>
      <c r="H103" s="143">
        <f t="shared" si="47"/>
        <v>0</v>
      </c>
      <c r="I103" s="143">
        <f t="shared" si="47"/>
        <v>0</v>
      </c>
      <c r="J103" s="143">
        <f t="shared" si="47"/>
        <v>0</v>
      </c>
      <c r="K103" s="143">
        <f t="shared" si="47"/>
        <v>0</v>
      </c>
      <c r="L103" s="143">
        <f t="shared" si="47"/>
        <v>0</v>
      </c>
      <c r="M103" s="169">
        <f t="shared" si="47"/>
        <v>0</v>
      </c>
      <c r="N103" s="143">
        <f t="shared" si="47"/>
        <v>0</v>
      </c>
      <c r="O103" s="143">
        <f t="shared" si="47"/>
        <v>0</v>
      </c>
      <c r="P103" s="143">
        <f t="shared" si="47"/>
        <v>0</v>
      </c>
      <c r="Q103" s="143">
        <f t="shared" si="47"/>
        <v>0</v>
      </c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</row>
    <row r="104" spans="1:38" s="82" customFormat="1" ht="12" customHeight="1">
      <c r="A104" s="65"/>
      <c r="C104" s="103" t="s">
        <v>104</v>
      </c>
      <c r="D104" s="103"/>
      <c r="E104" s="143">
        <f>E12/(F32+F31)*365</f>
        <v>0</v>
      </c>
      <c r="F104" s="143">
        <f aca="true" t="shared" si="48" ref="F104:P104">F12/(G32+G31)*365</f>
        <v>0</v>
      </c>
      <c r="G104" s="169">
        <f t="shared" si="48"/>
        <v>0</v>
      </c>
      <c r="H104" s="143">
        <f t="shared" si="48"/>
        <v>0</v>
      </c>
      <c r="I104" s="143">
        <f t="shared" si="48"/>
        <v>0</v>
      </c>
      <c r="J104" s="143">
        <f t="shared" si="48"/>
        <v>0</v>
      </c>
      <c r="K104" s="143">
        <f t="shared" si="48"/>
        <v>0</v>
      </c>
      <c r="L104" s="143">
        <f t="shared" si="48"/>
        <v>0</v>
      </c>
      <c r="M104" s="169">
        <f t="shared" si="48"/>
        <v>0</v>
      </c>
      <c r="N104" s="143">
        <f t="shared" si="48"/>
        <v>0</v>
      </c>
      <c r="O104" s="143">
        <f t="shared" si="48"/>
        <v>0</v>
      </c>
      <c r="P104" s="143">
        <f t="shared" si="48"/>
        <v>0</v>
      </c>
      <c r="Q104" s="143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</row>
    <row r="105" spans="1:38" s="82" customFormat="1" ht="12" customHeight="1">
      <c r="A105" s="65"/>
      <c r="C105" s="103" t="s">
        <v>105</v>
      </c>
      <c r="D105" s="103"/>
      <c r="E105" s="11">
        <f>E40/E30</f>
        <v>0.04083333333333333</v>
      </c>
      <c r="F105" s="11">
        <f aca="true" t="shared" si="49" ref="F105:Q105">F40/F30</f>
        <v>0.044333333333333336</v>
      </c>
      <c r="G105" s="15">
        <f t="shared" si="49"/>
        <v>0.04735294117647059</v>
      </c>
      <c r="H105" s="11">
        <f t="shared" si="49"/>
        <v>0.04795259851513421</v>
      </c>
      <c r="I105" s="11">
        <f t="shared" si="49"/>
        <v>0.047954539153770646</v>
      </c>
      <c r="J105" s="11">
        <f t="shared" si="49"/>
        <v>0.04788596992194936</v>
      </c>
      <c r="K105" s="11">
        <f t="shared" si="49"/>
        <v>0.04788596992194935</v>
      </c>
      <c r="L105" s="11">
        <f t="shared" si="49"/>
        <v>0.04788596992194934</v>
      </c>
      <c r="M105" s="15">
        <f t="shared" si="49"/>
        <v>0.047885969921949365</v>
      </c>
      <c r="N105" s="11">
        <f t="shared" si="49"/>
        <v>0.04788596992194934</v>
      </c>
      <c r="O105" s="11">
        <f t="shared" si="49"/>
        <v>0.047885969921949365</v>
      </c>
      <c r="P105" s="11">
        <f t="shared" si="49"/>
        <v>0.04788596992194935</v>
      </c>
      <c r="Q105" s="11">
        <f t="shared" si="49"/>
        <v>0.04788596992194936</v>
      </c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</row>
    <row r="106" spans="1:38" s="82" customFormat="1" ht="12" customHeight="1">
      <c r="A106" s="65"/>
      <c r="C106" s="103" t="s">
        <v>106</v>
      </c>
      <c r="D106" s="103"/>
      <c r="E106" s="11">
        <f>(E40+E36*(1-$F$1))/E30</f>
        <v>0.058333333333333334</v>
      </c>
      <c r="F106" s="11">
        <f aca="true" t="shared" si="50" ref="F106:Q106">(F40+F36*(1-$F$1))/F30</f>
        <v>0.058333333333333334</v>
      </c>
      <c r="G106" s="15">
        <f t="shared" si="50"/>
        <v>0.060941176470588235</v>
      </c>
      <c r="H106" s="11">
        <f t="shared" si="50"/>
        <v>0.06114505996573386</v>
      </c>
      <c r="I106" s="11">
        <f t="shared" si="50"/>
        <v>0.061147000604370304</v>
      </c>
      <c r="J106" s="11">
        <f t="shared" si="50"/>
        <v>0.061078431372549015</v>
      </c>
      <c r="K106" s="11">
        <f t="shared" si="50"/>
        <v>0.061078431372549</v>
      </c>
      <c r="L106" s="11">
        <f t="shared" si="50"/>
        <v>0.061078431372549</v>
      </c>
      <c r="M106" s="15">
        <f t="shared" si="50"/>
        <v>0.06107843137254902</v>
      </c>
      <c r="N106" s="11">
        <f t="shared" si="50"/>
        <v>0.061078431372549</v>
      </c>
      <c r="O106" s="11">
        <f t="shared" si="50"/>
        <v>0.06107843137254902</v>
      </c>
      <c r="P106" s="11">
        <f t="shared" si="50"/>
        <v>0.061078431372549015</v>
      </c>
      <c r="Q106" s="11">
        <f t="shared" si="50"/>
        <v>0.061078431372549015</v>
      </c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</row>
    <row r="107" spans="1:38" s="82" customFormat="1" ht="12" customHeight="1">
      <c r="A107" s="65"/>
      <c r="C107" s="103" t="s">
        <v>107</v>
      </c>
      <c r="D107" s="103"/>
      <c r="E107" s="11">
        <f>(E35+E34)/E30</f>
        <v>0.16666666666666666</v>
      </c>
      <c r="F107" s="11">
        <f aca="true" t="shared" si="51" ref="F107:Q107">(F35+F34)/F30</f>
        <v>0.16666666666666666</v>
      </c>
      <c r="G107" s="15">
        <f t="shared" si="51"/>
        <v>0.16647058823529412</v>
      </c>
      <c r="H107" s="11">
        <f t="shared" si="51"/>
        <v>0.16676185037121644</v>
      </c>
      <c r="I107" s="11">
        <f t="shared" si="51"/>
        <v>0.16676462271212567</v>
      </c>
      <c r="J107" s="11">
        <f t="shared" si="51"/>
        <v>0.16666666666666669</v>
      </c>
      <c r="K107" s="11">
        <f t="shared" si="51"/>
        <v>0.16666666666666666</v>
      </c>
      <c r="L107" s="11">
        <f t="shared" si="51"/>
        <v>0.16666666666666666</v>
      </c>
      <c r="M107" s="15">
        <f t="shared" si="51"/>
        <v>0.16666666666666669</v>
      </c>
      <c r="N107" s="11">
        <f t="shared" si="51"/>
        <v>0.16666666666666666</v>
      </c>
      <c r="O107" s="11">
        <f t="shared" si="51"/>
        <v>0.16666666666666669</v>
      </c>
      <c r="P107" s="11">
        <f t="shared" si="51"/>
        <v>0.16666666666666666</v>
      </c>
      <c r="Q107" s="11">
        <f t="shared" si="51"/>
        <v>0.16666666666666669</v>
      </c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</row>
    <row r="108" spans="1:38" s="82" customFormat="1" ht="12" customHeight="1">
      <c r="A108" s="65"/>
      <c r="C108" s="103" t="s">
        <v>108</v>
      </c>
      <c r="D108" s="103"/>
      <c r="E108" s="11">
        <f>(E31+E32)/E30</f>
        <v>0.5</v>
      </c>
      <c r="F108" s="11">
        <f aca="true" t="shared" si="52" ref="F108:P108">(F31+F32)/F30</f>
        <v>0.5</v>
      </c>
      <c r="G108" s="15">
        <f t="shared" si="52"/>
        <v>0.5</v>
      </c>
      <c r="H108" s="11">
        <f t="shared" si="52"/>
        <v>0.5</v>
      </c>
      <c r="I108" s="11">
        <f t="shared" si="52"/>
        <v>0.5</v>
      </c>
      <c r="J108" s="11">
        <f t="shared" si="52"/>
        <v>0.5</v>
      </c>
      <c r="K108" s="11">
        <f t="shared" si="52"/>
        <v>0.5</v>
      </c>
      <c r="L108" s="11">
        <f t="shared" si="52"/>
        <v>0.5</v>
      </c>
      <c r="M108" s="15">
        <f t="shared" si="52"/>
        <v>0.5</v>
      </c>
      <c r="N108" s="11">
        <f t="shared" si="52"/>
        <v>0.5</v>
      </c>
      <c r="O108" s="11">
        <f t="shared" si="52"/>
        <v>0.5</v>
      </c>
      <c r="P108" s="11">
        <f t="shared" si="52"/>
        <v>0.5</v>
      </c>
      <c r="Q108" s="11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</row>
    <row r="109" spans="1:38" s="82" customFormat="1" ht="12" customHeight="1">
      <c r="A109" s="65"/>
      <c r="C109" s="103" t="s">
        <v>109</v>
      </c>
      <c r="D109" s="103"/>
      <c r="E109" s="11">
        <f>E33/E30</f>
        <v>0.3333333333333333</v>
      </c>
      <c r="F109" s="11">
        <f aca="true" t="shared" si="53" ref="F109:P109">F33/F30</f>
        <v>0.3333333333333333</v>
      </c>
      <c r="G109" s="15">
        <f t="shared" si="53"/>
        <v>0.3335294117647059</v>
      </c>
      <c r="H109" s="11">
        <f t="shared" si="53"/>
        <v>0.33323814962878356</v>
      </c>
      <c r="I109" s="11">
        <f t="shared" si="53"/>
        <v>0.33323537728787433</v>
      </c>
      <c r="J109" s="11">
        <f t="shared" si="53"/>
        <v>0.3333333333333333</v>
      </c>
      <c r="K109" s="11">
        <f t="shared" si="53"/>
        <v>0.3333333333333333</v>
      </c>
      <c r="L109" s="11">
        <f t="shared" si="53"/>
        <v>0.33333333333333337</v>
      </c>
      <c r="M109" s="15">
        <f t="shared" si="53"/>
        <v>0.3333333333333333</v>
      </c>
      <c r="N109" s="11">
        <f t="shared" si="53"/>
        <v>0.33333333333333337</v>
      </c>
      <c r="O109" s="11">
        <f t="shared" si="53"/>
        <v>0.3333333333333333</v>
      </c>
      <c r="P109" s="11">
        <f t="shared" si="53"/>
        <v>0.3333333333333333</v>
      </c>
      <c r="Q109" s="11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</row>
    <row r="110" spans="1:38" s="82" customFormat="1" ht="12" customHeight="1">
      <c r="A110" s="65"/>
      <c r="C110" s="103"/>
      <c r="D110" s="103"/>
      <c r="E110" s="11"/>
      <c r="F110" s="11"/>
      <c r="G110" s="15"/>
      <c r="H110" s="11"/>
      <c r="I110" s="11"/>
      <c r="J110" s="11"/>
      <c r="K110" s="11"/>
      <c r="L110" s="11"/>
      <c r="M110" s="15"/>
      <c r="N110" s="11"/>
      <c r="O110" s="11"/>
      <c r="P110" s="11"/>
      <c r="Q110" s="11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</row>
    <row r="111" spans="1:17" ht="12.75" customHeight="1">
      <c r="A111" s="20"/>
      <c r="C111" s="6" t="s">
        <v>110</v>
      </c>
      <c r="D111" s="6"/>
      <c r="E111" s="11">
        <f aca="true" t="shared" si="54" ref="E111:P111">E39/E56</f>
        <v>0.38181818181818183</v>
      </c>
      <c r="F111" s="194">
        <f t="shared" si="54"/>
        <v>-0.35625</v>
      </c>
      <c r="G111" s="15">
        <f t="shared" si="54"/>
        <v>0.48523206751054854</v>
      </c>
      <c r="H111" s="11">
        <f t="shared" si="54"/>
        <v>0.5095942788359412</v>
      </c>
      <c r="I111" s="11">
        <f t="shared" si="54"/>
        <v>0.5095903801300449</v>
      </c>
      <c r="J111" s="11">
        <f t="shared" si="54"/>
        <v>0.5097283623726336</v>
      </c>
      <c r="K111" s="11">
        <f t="shared" si="54"/>
        <v>0.5097283623726341</v>
      </c>
      <c r="L111" s="11">
        <f t="shared" si="54"/>
        <v>0.5097283623726317</v>
      </c>
      <c r="M111" s="15">
        <f t="shared" si="54"/>
        <v>0.509728362372635</v>
      </c>
      <c r="N111" s="11">
        <f t="shared" si="54"/>
        <v>0.5097283623726332</v>
      </c>
      <c r="O111" s="11">
        <f t="shared" si="54"/>
        <v>0.509728362372633</v>
      </c>
      <c r="P111" s="11">
        <f t="shared" si="54"/>
        <v>0.5097283623726298</v>
      </c>
      <c r="Q111" s="11"/>
    </row>
    <row r="112" spans="1:17" ht="12.75" customHeight="1">
      <c r="A112" s="20"/>
      <c r="C112" s="6" t="s">
        <v>111</v>
      </c>
      <c r="D112" s="6"/>
      <c r="E112" s="11">
        <f aca="true" t="shared" si="55" ref="E112:P112">E39/E55</f>
        <v>0.6176470588235294</v>
      </c>
      <c r="F112" s="11">
        <f t="shared" si="55"/>
        <v>-0.5588235294117647</v>
      </c>
      <c r="G112" s="15">
        <f t="shared" si="55"/>
        <v>0.71875</v>
      </c>
      <c r="H112" s="11">
        <f t="shared" si="55"/>
        <v>0.5621338748730764</v>
      </c>
      <c r="I112" s="11">
        <f t="shared" si="55"/>
        <v>0.5621267854583684</v>
      </c>
      <c r="J112" s="11">
        <f t="shared" si="55"/>
        <v>0.5623777354651927</v>
      </c>
      <c r="K112" s="11">
        <f t="shared" si="55"/>
        <v>0.5623777354651931</v>
      </c>
      <c r="L112" s="11">
        <f t="shared" si="55"/>
        <v>0.5623777354651902</v>
      </c>
      <c r="M112" s="15">
        <f t="shared" si="55"/>
        <v>0.562377735465194</v>
      </c>
      <c r="N112" s="11">
        <f t="shared" si="55"/>
        <v>0.5623777354651924</v>
      </c>
      <c r="O112" s="11">
        <f t="shared" si="55"/>
        <v>0.5623777354651921</v>
      </c>
      <c r="P112" s="11">
        <f t="shared" si="55"/>
        <v>0.5623777354651885</v>
      </c>
      <c r="Q112" s="11"/>
    </row>
    <row r="113" spans="1:38" s="82" customFormat="1" ht="12" customHeight="1">
      <c r="A113" s="65"/>
      <c r="C113" s="103"/>
      <c r="D113" s="103"/>
      <c r="E113" s="11"/>
      <c r="F113" s="11"/>
      <c r="G113" s="15"/>
      <c r="H113" s="11"/>
      <c r="I113" s="11"/>
      <c r="J113" s="11"/>
      <c r="K113" s="11"/>
      <c r="L113" s="11"/>
      <c r="M113" s="15"/>
      <c r="N113" s="11"/>
      <c r="O113" s="11"/>
      <c r="P113" s="11"/>
      <c r="Q113" s="11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</row>
    <row r="114" spans="1:17" ht="12.75" customHeight="1">
      <c r="A114" s="20"/>
      <c r="C114" s="6" t="s">
        <v>112</v>
      </c>
      <c r="D114" s="48"/>
      <c r="E114" s="112">
        <f aca="true" t="shared" si="56" ref="E114:P114">E40/D23</f>
        <v>0.098</v>
      </c>
      <c r="F114" s="112">
        <f t="shared" si="56"/>
        <v>0.129126213592233</v>
      </c>
      <c r="G114" s="124">
        <f t="shared" si="56"/>
        <v>0.12727272727272726</v>
      </c>
      <c r="H114" s="112">
        <f t="shared" si="56"/>
        <v>0.12626315789473685</v>
      </c>
      <c r="I114" s="112">
        <f t="shared" si="56"/>
        <v>0.1262682677567705</v>
      </c>
      <c r="J114" s="112">
        <f t="shared" si="56"/>
        <v>0.12608771929824558</v>
      </c>
      <c r="K114" s="112">
        <f t="shared" si="56"/>
        <v>0.12608771929824555</v>
      </c>
      <c r="L114" s="112">
        <f t="shared" si="56"/>
        <v>0.12608771929824553</v>
      </c>
      <c r="M114" s="124">
        <f t="shared" si="56"/>
        <v>0.12608771929824564</v>
      </c>
      <c r="N114" s="112">
        <f t="shared" si="56"/>
        <v>0.12608771929824553</v>
      </c>
      <c r="O114" s="112">
        <f t="shared" si="56"/>
        <v>0.1260877192982456</v>
      </c>
      <c r="P114" s="112">
        <f t="shared" si="56"/>
        <v>0.12608771929824558</v>
      </c>
      <c r="Q114" s="48"/>
    </row>
    <row r="115" spans="1:17" ht="12.75" customHeight="1">
      <c r="A115" s="20"/>
      <c r="C115" s="6" t="s">
        <v>113</v>
      </c>
      <c r="D115" s="48"/>
      <c r="E115" s="112">
        <f aca="true" t="shared" si="57" ref="E115:P115">(E40+E36*(1-$F$1))/(D23+D22)</f>
        <v>0.07</v>
      </c>
      <c r="F115" s="112">
        <f t="shared" si="57"/>
        <v>0.08620689655172414</v>
      </c>
      <c r="G115" s="124">
        <f t="shared" si="57"/>
        <v>0.08761099365750528</v>
      </c>
      <c r="H115" s="112">
        <f t="shared" si="57"/>
        <v>0.08811934156378601</v>
      </c>
      <c r="I115" s="112">
        <f t="shared" si="57"/>
        <v>0.08812213831954929</v>
      </c>
      <c r="J115" s="112">
        <f t="shared" si="57"/>
        <v>0.0880233196159122</v>
      </c>
      <c r="K115" s="112">
        <f t="shared" si="57"/>
        <v>0.08802331961591219</v>
      </c>
      <c r="L115" s="112">
        <f t="shared" si="57"/>
        <v>0.08802331961591217</v>
      </c>
      <c r="M115" s="124">
        <f t="shared" si="57"/>
        <v>0.08802331961591221</v>
      </c>
      <c r="N115" s="112">
        <f t="shared" si="57"/>
        <v>0.08802331961591217</v>
      </c>
      <c r="O115" s="112">
        <f t="shared" si="57"/>
        <v>0.0880233196159122</v>
      </c>
      <c r="P115" s="112">
        <f t="shared" si="57"/>
        <v>0.08802331961591217</v>
      </c>
      <c r="Q115" s="48"/>
    </row>
    <row r="116" spans="1:38" s="82" customFormat="1" ht="12" customHeight="1">
      <c r="A116" s="65"/>
      <c r="C116" s="103"/>
      <c r="D116" s="103"/>
      <c r="E116" s="11"/>
      <c r="F116" s="11"/>
      <c r="G116" s="15"/>
      <c r="H116" s="11"/>
      <c r="I116" s="11"/>
      <c r="J116" s="11"/>
      <c r="K116" s="11"/>
      <c r="L116" s="11"/>
      <c r="M116" s="15"/>
      <c r="N116" s="11"/>
      <c r="O116" s="11"/>
      <c r="P116" s="11"/>
      <c r="Q116" s="11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</row>
    <row r="117" spans="1:38" s="82" customFormat="1" ht="12" customHeight="1">
      <c r="A117" s="65"/>
      <c r="C117" s="6" t="s">
        <v>114</v>
      </c>
      <c r="D117" s="138">
        <f>D22/(D22+D23)</f>
        <v>0.5</v>
      </c>
      <c r="E117" s="138">
        <f>E22/(E22+E23)</f>
        <v>0.49261083743842365</v>
      </c>
      <c r="F117" s="138">
        <f aca="true" t="shared" si="58" ref="F117:P117">F22/(F22+F23)</f>
        <v>0.46511627906976744</v>
      </c>
      <c r="G117" s="15">
        <f t="shared" si="58"/>
        <v>0.45267489711934156</v>
      </c>
      <c r="H117" s="138">
        <f t="shared" si="58"/>
        <v>0.45267489711934156</v>
      </c>
      <c r="I117" s="138">
        <f t="shared" si="58"/>
        <v>0.45267489711934156</v>
      </c>
      <c r="J117" s="138">
        <f t="shared" si="58"/>
        <v>0.45267489711934156</v>
      </c>
      <c r="K117" s="138">
        <f t="shared" si="58"/>
        <v>0.45267489711934156</v>
      </c>
      <c r="L117" s="138">
        <f t="shared" si="58"/>
        <v>0.45267489711934167</v>
      </c>
      <c r="M117" s="15">
        <f t="shared" si="58"/>
        <v>0.45267489711934167</v>
      </c>
      <c r="N117" s="138">
        <f t="shared" si="58"/>
        <v>0.4526748971193416</v>
      </c>
      <c r="O117" s="138">
        <f t="shared" si="58"/>
        <v>0.4526748971193416</v>
      </c>
      <c r="P117" s="138">
        <f t="shared" si="58"/>
        <v>0.45267489711934183</v>
      </c>
      <c r="Q117" s="138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</row>
    <row r="118" spans="1:38" s="82" customFormat="1" ht="12" customHeight="1">
      <c r="A118" s="65"/>
      <c r="C118" s="6" t="s">
        <v>115</v>
      </c>
      <c r="D118" s="103"/>
      <c r="E118" s="189">
        <f>E35/E36</f>
        <v>3.3333333333333335</v>
      </c>
      <c r="F118" s="189">
        <f aca="true" t="shared" si="59" ref="F118:P118">F35/F36</f>
        <v>4.166666666666667</v>
      </c>
      <c r="G118" s="169">
        <f t="shared" si="59"/>
        <v>4.484848484848484</v>
      </c>
      <c r="H118" s="189">
        <f t="shared" si="59"/>
        <v>4.634848484848485</v>
      </c>
      <c r="I118" s="189">
        <f t="shared" si="59"/>
        <v>4.634995586937333</v>
      </c>
      <c r="J118" s="189">
        <f t="shared" si="59"/>
        <v>4.62979797979798</v>
      </c>
      <c r="K118" s="189">
        <f t="shared" si="59"/>
        <v>4.629797979797979</v>
      </c>
      <c r="L118" s="189">
        <f t="shared" si="59"/>
        <v>4.629797979797977</v>
      </c>
      <c r="M118" s="169">
        <f t="shared" si="59"/>
        <v>4.629797979797979</v>
      </c>
      <c r="N118" s="189">
        <f t="shared" si="59"/>
        <v>4.629797979797977</v>
      </c>
      <c r="O118" s="189">
        <f t="shared" si="59"/>
        <v>4.629797979797979</v>
      </c>
      <c r="P118" s="189">
        <f t="shared" si="59"/>
        <v>4.629797979797977</v>
      </c>
      <c r="Q118" s="138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</row>
    <row r="119" spans="1:38" s="82" customFormat="1" ht="12" customHeight="1">
      <c r="A119" s="65"/>
      <c r="C119" s="6" t="s">
        <v>116</v>
      </c>
      <c r="D119" s="103"/>
      <c r="E119" s="138">
        <f>E30/(E18)</f>
        <v>1.1822660098522169</v>
      </c>
      <c r="F119" s="138">
        <f aca="true" t="shared" si="60" ref="F119:P119">F30/(F18)</f>
        <v>1.2684989429175475</v>
      </c>
      <c r="G119" s="15">
        <f t="shared" si="60"/>
        <v>1.3991769547325104</v>
      </c>
      <c r="H119" s="138">
        <f t="shared" si="60"/>
        <v>1.3991769547325101</v>
      </c>
      <c r="I119" s="138">
        <f t="shared" si="60"/>
        <v>1.3991769547325101</v>
      </c>
      <c r="J119" s="138">
        <f t="shared" si="60"/>
        <v>1.39917695473251</v>
      </c>
      <c r="K119" s="138">
        <f t="shared" si="60"/>
        <v>1.39917695473251</v>
      </c>
      <c r="L119" s="138">
        <f t="shared" si="60"/>
        <v>1.39917695473251</v>
      </c>
      <c r="M119" s="15">
        <f t="shared" si="60"/>
        <v>1.39917695473251</v>
      </c>
      <c r="N119" s="138">
        <f t="shared" si="60"/>
        <v>1.3991769547325097</v>
      </c>
      <c r="O119" s="138">
        <f t="shared" si="60"/>
        <v>1.3991769547325097</v>
      </c>
      <c r="P119" s="138">
        <f t="shared" si="60"/>
        <v>1.3991769547325097</v>
      </c>
      <c r="Q119" s="138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</row>
    <row r="120" spans="1:38" s="82" customFormat="1" ht="12" customHeight="1">
      <c r="A120" s="65"/>
      <c r="C120" s="6" t="s">
        <v>117</v>
      </c>
      <c r="D120" s="103"/>
      <c r="E120" s="138">
        <f>E30/(E22+E23)</f>
        <v>1.1822660098522169</v>
      </c>
      <c r="F120" s="138">
        <f aca="true" t="shared" si="61" ref="F120:P120">F30/(F22+F23)</f>
        <v>1.2684989429175475</v>
      </c>
      <c r="G120" s="15">
        <f t="shared" si="61"/>
        <v>1.3991769547325104</v>
      </c>
      <c r="H120" s="138">
        <f t="shared" si="61"/>
        <v>1.3991769547325101</v>
      </c>
      <c r="I120" s="138">
        <f t="shared" si="61"/>
        <v>1.3991769547325101</v>
      </c>
      <c r="J120" s="138">
        <f t="shared" si="61"/>
        <v>1.3991769547325101</v>
      </c>
      <c r="K120" s="138">
        <f t="shared" si="61"/>
        <v>1.3991769547325101</v>
      </c>
      <c r="L120" s="138">
        <f t="shared" si="61"/>
        <v>1.3991769547325101</v>
      </c>
      <c r="M120" s="15">
        <f t="shared" si="61"/>
        <v>1.39917695473251</v>
      </c>
      <c r="N120" s="138">
        <f t="shared" si="61"/>
        <v>1.39917695473251</v>
      </c>
      <c r="O120" s="138">
        <f t="shared" si="61"/>
        <v>1.39917695473251</v>
      </c>
      <c r="P120" s="138">
        <f t="shared" si="61"/>
        <v>1.3991769547325106</v>
      </c>
      <c r="Q120" s="138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</row>
    <row r="121" spans="1:38" s="82" customFormat="1" ht="12" customHeight="1" thickBot="1">
      <c r="A121" s="65"/>
      <c r="C121" s="6"/>
      <c r="D121" s="103"/>
      <c r="E121" s="138"/>
      <c r="F121" s="138"/>
      <c r="G121" s="15"/>
      <c r="H121" s="138"/>
      <c r="I121" s="138"/>
      <c r="J121" s="138"/>
      <c r="K121" s="138"/>
      <c r="L121" s="138"/>
      <c r="M121" s="15"/>
      <c r="N121" s="138"/>
      <c r="O121" s="138"/>
      <c r="P121" s="138"/>
      <c r="Q121" s="138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</row>
    <row r="122" spans="1:38" s="82" customFormat="1" ht="12" customHeight="1" thickBot="1">
      <c r="A122" s="65"/>
      <c r="C122" s="6" t="s">
        <v>118</v>
      </c>
      <c r="D122" s="103"/>
      <c r="E122" s="138">
        <f aca="true" t="shared" si="62" ref="E122:P122">-E52/(D16)</f>
        <v>0.125</v>
      </c>
      <c r="F122" s="138">
        <f t="shared" si="62"/>
        <v>0.3125</v>
      </c>
      <c r="G122" s="15">
        <f t="shared" si="62"/>
        <v>0.16216216216216217</v>
      </c>
      <c r="H122" s="138">
        <f t="shared" si="62"/>
        <v>0.1779255319148936</v>
      </c>
      <c r="I122" s="138">
        <f t="shared" si="62"/>
        <v>0.17792553191489377</v>
      </c>
      <c r="J122" s="138">
        <f t="shared" si="62"/>
        <v>0.1779255319148937</v>
      </c>
      <c r="K122" s="138">
        <f t="shared" si="62"/>
        <v>0.17792553191489374</v>
      </c>
      <c r="L122" s="138">
        <f t="shared" si="62"/>
        <v>0.17792553191489338</v>
      </c>
      <c r="M122" s="187">
        <f t="shared" si="62"/>
        <v>0.17792553191489388</v>
      </c>
      <c r="N122" s="188">
        <f t="shared" si="62"/>
        <v>0.1779255319148936</v>
      </c>
      <c r="O122" s="138">
        <f t="shared" si="62"/>
        <v>0.17792553191489363</v>
      </c>
      <c r="P122" s="138">
        <f t="shared" si="62"/>
        <v>0.17792553191489313</v>
      </c>
      <c r="Q122" s="138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</row>
    <row r="123" spans="1:38" s="82" customFormat="1" ht="12" customHeight="1" thickBot="1">
      <c r="A123" s="65"/>
      <c r="C123" s="6" t="s">
        <v>119</v>
      </c>
      <c r="D123" s="103"/>
      <c r="E123" s="138">
        <f>-E52/(E30)</f>
        <v>0.08333333333333333</v>
      </c>
      <c r="F123" s="138">
        <f aca="true" t="shared" si="63" ref="F123:P123">-F52/(F30)</f>
        <v>0.16666666666666666</v>
      </c>
      <c r="G123" s="15">
        <f t="shared" si="63"/>
        <v>0.08823529411764706</v>
      </c>
      <c r="H123" s="138">
        <f t="shared" si="63"/>
        <v>0.09551684751570531</v>
      </c>
      <c r="I123" s="138">
        <f t="shared" si="63"/>
        <v>0.0955168475157054</v>
      </c>
      <c r="J123" s="138">
        <f t="shared" si="63"/>
        <v>0.09551684751570537</v>
      </c>
      <c r="K123" s="138">
        <f t="shared" si="63"/>
        <v>0.0955168475157054</v>
      </c>
      <c r="L123" s="138">
        <f t="shared" si="63"/>
        <v>0.09551684751570522</v>
      </c>
      <c r="M123" s="187">
        <f t="shared" si="63"/>
        <v>0.09551684751570547</v>
      </c>
      <c r="N123" s="188">
        <f t="shared" si="63"/>
        <v>0.09551684751570533</v>
      </c>
      <c r="O123" s="138">
        <f t="shared" si="63"/>
        <v>0.09551684751570534</v>
      </c>
      <c r="P123" s="138">
        <f t="shared" si="63"/>
        <v>0.09551684751570509</v>
      </c>
      <c r="Q123" s="138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</row>
    <row r="124" spans="1:38" s="82" customFormat="1" ht="12" customHeight="1">
      <c r="A124" s="65"/>
      <c r="C124" s="6" t="s">
        <v>120</v>
      </c>
      <c r="D124" s="103"/>
      <c r="E124" s="138">
        <f aca="true" t="shared" si="64" ref="E124:P124">E34/(D16)</f>
        <v>0.125</v>
      </c>
      <c r="F124" s="138">
        <f t="shared" si="64"/>
        <v>0.15625</v>
      </c>
      <c r="G124" s="15">
        <f t="shared" si="64"/>
        <v>0.14594594594594595</v>
      </c>
      <c r="H124" s="138">
        <f t="shared" si="64"/>
        <v>0.14792553191489363</v>
      </c>
      <c r="I124" s="138">
        <f t="shared" si="64"/>
        <v>0.14792553191489363</v>
      </c>
      <c r="J124" s="138">
        <f t="shared" si="64"/>
        <v>0.14792553191489363</v>
      </c>
      <c r="K124" s="138">
        <f t="shared" si="64"/>
        <v>0.1479255319148936</v>
      </c>
      <c r="L124" s="138">
        <f t="shared" si="64"/>
        <v>0.1479255319148936</v>
      </c>
      <c r="M124" s="15">
        <f t="shared" si="64"/>
        <v>0.1479255319148936</v>
      </c>
      <c r="N124" s="138">
        <f t="shared" si="64"/>
        <v>0.1479255319148936</v>
      </c>
      <c r="O124" s="138">
        <f t="shared" si="64"/>
        <v>0.1479255319148936</v>
      </c>
      <c r="P124" s="138">
        <f t="shared" si="64"/>
        <v>0.1479255319148936</v>
      </c>
      <c r="Q124" s="138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</row>
    <row r="125" spans="1:38" s="82" customFormat="1" ht="12" customHeight="1">
      <c r="A125" s="65"/>
      <c r="C125" s="6"/>
      <c r="D125" s="103"/>
      <c r="E125" s="138"/>
      <c r="F125" s="138"/>
      <c r="G125" s="15"/>
      <c r="H125" s="138"/>
      <c r="I125" s="138"/>
      <c r="J125" s="138"/>
      <c r="K125" s="138"/>
      <c r="L125" s="138"/>
      <c r="M125" s="15"/>
      <c r="N125" s="138"/>
      <c r="O125" s="138"/>
      <c r="P125" s="138"/>
      <c r="Q125" s="138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</row>
    <row r="126" spans="1:38" s="82" customFormat="1" ht="12" customHeight="1">
      <c r="A126" s="65"/>
      <c r="C126" s="6"/>
      <c r="D126" s="103"/>
      <c r="E126" s="138"/>
      <c r="F126" s="138"/>
      <c r="G126" s="15"/>
      <c r="H126" s="138"/>
      <c r="I126" s="138"/>
      <c r="J126" s="138"/>
      <c r="K126" s="138"/>
      <c r="L126" s="138"/>
      <c r="M126" s="15"/>
      <c r="N126" s="138"/>
      <c r="O126" s="138"/>
      <c r="P126" s="138"/>
      <c r="Q126" s="138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</row>
    <row r="127" spans="1:38" s="82" customFormat="1" ht="12" customHeight="1">
      <c r="A127" s="65"/>
      <c r="C127" s="6"/>
      <c r="D127" s="103"/>
      <c r="E127" s="138"/>
      <c r="F127" s="138"/>
      <c r="G127" s="15"/>
      <c r="H127" s="138"/>
      <c r="I127" s="21" t="s">
        <v>121</v>
      </c>
      <c r="J127" s="138"/>
      <c r="K127" s="138"/>
      <c r="L127" s="138"/>
      <c r="M127" s="138"/>
      <c r="N127" s="138"/>
      <c r="O127" s="138"/>
      <c r="P127" s="138"/>
      <c r="Q127" s="138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</row>
    <row r="128" spans="1:38" s="82" customFormat="1" ht="12" customHeight="1">
      <c r="A128" s="65"/>
      <c r="B128" s="82" t="s">
        <v>122</v>
      </c>
      <c r="C128" s="6"/>
      <c r="D128" s="103"/>
      <c r="E128" s="82" t="s">
        <v>123</v>
      </c>
      <c r="F128" s="138"/>
      <c r="G128" s="15"/>
      <c r="H128" s="138"/>
      <c r="I128" s="138"/>
      <c r="J128" s="138"/>
      <c r="K128" s="138"/>
      <c r="L128" s="138"/>
      <c r="M128" s="138"/>
      <c r="N128" s="138"/>
      <c r="O128" s="138"/>
      <c r="P128" s="138"/>
      <c r="Q128" s="138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</row>
    <row r="129" spans="1:17" ht="12" customHeight="1" thickBot="1">
      <c r="A129" s="20"/>
      <c r="B129"/>
      <c r="C129"/>
      <c r="D129" s="79">
        <v>0</v>
      </c>
      <c r="E129" s="79">
        <v>1</v>
      </c>
      <c r="F129" s="79">
        <f aca="true" t="shared" si="65" ref="F129:Q129">E129+1</f>
        <v>2</v>
      </c>
      <c r="G129" s="206">
        <f t="shared" si="65"/>
        <v>3</v>
      </c>
      <c r="H129" s="79">
        <f t="shared" si="65"/>
        <v>4</v>
      </c>
      <c r="I129" s="127">
        <f t="shared" si="65"/>
        <v>5</v>
      </c>
      <c r="J129" s="127">
        <f t="shared" si="65"/>
        <v>6</v>
      </c>
      <c r="K129" s="127">
        <f t="shared" si="65"/>
        <v>7</v>
      </c>
      <c r="L129" s="127">
        <f t="shared" si="65"/>
        <v>8</v>
      </c>
      <c r="M129" s="137">
        <f t="shared" si="65"/>
        <v>9</v>
      </c>
      <c r="N129" s="127">
        <f t="shared" si="65"/>
        <v>10</v>
      </c>
      <c r="O129" s="127">
        <f t="shared" si="65"/>
        <v>11</v>
      </c>
      <c r="P129" s="127">
        <f t="shared" si="65"/>
        <v>12</v>
      </c>
      <c r="Q129" s="127">
        <f t="shared" si="65"/>
        <v>13</v>
      </c>
    </row>
    <row r="130" spans="1:17" ht="12" customHeight="1">
      <c r="A130" s="20">
        <v>1</v>
      </c>
      <c r="C130" s="4" t="s">
        <v>124</v>
      </c>
      <c r="D130" s="52">
        <f>D1</f>
        <v>1</v>
      </c>
      <c r="E130" s="52">
        <f aca="true" t="shared" si="66" ref="E130:Q130">D130</f>
        <v>1</v>
      </c>
      <c r="F130" s="52">
        <f t="shared" si="66"/>
        <v>1</v>
      </c>
      <c r="G130" s="196">
        <f t="shared" si="66"/>
        <v>1</v>
      </c>
      <c r="H130" s="52">
        <f t="shared" si="66"/>
        <v>1</v>
      </c>
      <c r="I130" s="52">
        <f t="shared" si="66"/>
        <v>1</v>
      </c>
      <c r="J130" s="52">
        <f t="shared" si="66"/>
        <v>1</v>
      </c>
      <c r="K130" s="52">
        <f t="shared" si="66"/>
        <v>1</v>
      </c>
      <c r="L130" s="52">
        <f t="shared" si="66"/>
        <v>1</v>
      </c>
      <c r="M130" s="9">
        <f t="shared" si="66"/>
        <v>1</v>
      </c>
      <c r="N130" s="52">
        <f t="shared" si="66"/>
        <v>1</v>
      </c>
      <c r="O130" s="52">
        <f t="shared" si="66"/>
        <v>1</v>
      </c>
      <c r="P130" s="9">
        <f t="shared" si="66"/>
        <v>1</v>
      </c>
      <c r="Q130" s="9">
        <f t="shared" si="66"/>
        <v>1</v>
      </c>
    </row>
    <row r="131" spans="1:17" ht="12" customHeight="1">
      <c r="A131" s="20">
        <v>2</v>
      </c>
      <c r="C131" s="4" t="s">
        <v>37</v>
      </c>
      <c r="D131" s="13">
        <f>D2</f>
        <v>0.05</v>
      </c>
      <c r="E131" s="13">
        <f aca="true" t="shared" si="67" ref="E131:Q131">D131</f>
        <v>0.05</v>
      </c>
      <c r="F131" s="13">
        <f t="shared" si="67"/>
        <v>0.05</v>
      </c>
      <c r="G131" s="64">
        <f t="shared" si="67"/>
        <v>0.05</v>
      </c>
      <c r="H131" s="13">
        <f t="shared" si="67"/>
        <v>0.05</v>
      </c>
      <c r="I131" s="13">
        <f t="shared" si="67"/>
        <v>0.05</v>
      </c>
      <c r="J131" s="13">
        <f t="shared" si="67"/>
        <v>0.05</v>
      </c>
      <c r="K131" s="13">
        <f t="shared" si="67"/>
        <v>0.05</v>
      </c>
      <c r="L131" s="13">
        <f t="shared" si="67"/>
        <v>0.05</v>
      </c>
      <c r="M131" s="64">
        <f t="shared" si="67"/>
        <v>0.05</v>
      </c>
      <c r="N131" s="13">
        <f t="shared" si="67"/>
        <v>0.05</v>
      </c>
      <c r="O131" s="13">
        <f t="shared" si="67"/>
        <v>0.05</v>
      </c>
      <c r="P131" s="13">
        <f t="shared" si="67"/>
        <v>0.05</v>
      </c>
      <c r="Q131" s="13">
        <f t="shared" si="67"/>
        <v>0.05</v>
      </c>
    </row>
    <row r="132" spans="1:17" ht="12" customHeight="1">
      <c r="A132" s="20">
        <v>3</v>
      </c>
      <c r="C132" s="4" t="s">
        <v>125</v>
      </c>
      <c r="D132" s="13">
        <f>D3</f>
        <v>0.04</v>
      </c>
      <c r="E132" s="13">
        <f aca="true" t="shared" si="68" ref="E132:Q132">D132</f>
        <v>0.04</v>
      </c>
      <c r="F132" s="13">
        <f t="shared" si="68"/>
        <v>0.04</v>
      </c>
      <c r="G132" s="64">
        <f t="shared" si="68"/>
        <v>0.04</v>
      </c>
      <c r="H132" s="13">
        <f t="shared" si="68"/>
        <v>0.04</v>
      </c>
      <c r="I132" s="13">
        <f t="shared" si="68"/>
        <v>0.04</v>
      </c>
      <c r="J132" s="13">
        <f t="shared" si="68"/>
        <v>0.04</v>
      </c>
      <c r="K132" s="13">
        <f t="shared" si="68"/>
        <v>0.04</v>
      </c>
      <c r="L132" s="13">
        <f t="shared" si="68"/>
        <v>0.04</v>
      </c>
      <c r="M132" s="64">
        <f t="shared" si="68"/>
        <v>0.04</v>
      </c>
      <c r="N132" s="13">
        <f t="shared" si="68"/>
        <v>0.04</v>
      </c>
      <c r="O132" s="13">
        <f t="shared" si="68"/>
        <v>0.04</v>
      </c>
      <c r="P132" s="13">
        <f t="shared" si="68"/>
        <v>0.04</v>
      </c>
      <c r="Q132" s="13">
        <f t="shared" si="68"/>
        <v>0.04</v>
      </c>
    </row>
    <row r="133" spans="1:23" s="7" customFormat="1" ht="10.5" customHeight="1">
      <c r="A133" s="20">
        <v>4</v>
      </c>
      <c r="C133" s="7" t="s">
        <v>1</v>
      </c>
      <c r="D133" s="60">
        <f aca="true" t="shared" si="69" ref="D133:M133">D131+D130*D132</f>
        <v>0.09</v>
      </c>
      <c r="E133" s="60">
        <f t="shared" si="69"/>
        <v>0.09</v>
      </c>
      <c r="F133" s="60">
        <f t="shared" si="69"/>
        <v>0.09</v>
      </c>
      <c r="G133" s="59">
        <f t="shared" si="69"/>
        <v>0.09</v>
      </c>
      <c r="H133" s="60">
        <f t="shared" si="69"/>
        <v>0.09</v>
      </c>
      <c r="I133" s="60">
        <f t="shared" si="69"/>
        <v>0.09</v>
      </c>
      <c r="J133" s="60">
        <f t="shared" si="69"/>
        <v>0.09</v>
      </c>
      <c r="K133" s="60">
        <f t="shared" si="69"/>
        <v>0.09</v>
      </c>
      <c r="L133" s="60">
        <f t="shared" si="69"/>
        <v>0.09</v>
      </c>
      <c r="M133" s="59">
        <f t="shared" si="69"/>
        <v>0.09</v>
      </c>
      <c r="N133" s="60">
        <f>N131+N130*N132</f>
        <v>0.09</v>
      </c>
      <c r="O133" s="60">
        <f>O131+O130*O132</f>
        <v>0.09</v>
      </c>
      <c r="P133" s="60">
        <f>P131+P130*P132</f>
        <v>0.09</v>
      </c>
      <c r="Q133" s="60">
        <f>Q131+Q130*Q132</f>
        <v>0.09</v>
      </c>
      <c r="R133" s="66"/>
      <c r="S133" s="66"/>
      <c r="T133" s="66"/>
      <c r="U133" s="66"/>
      <c r="V133" s="66"/>
      <c r="W133" s="66"/>
    </row>
    <row r="134" spans="1:23" s="7" customFormat="1" ht="10.5" customHeight="1" hidden="1">
      <c r="A134" s="20"/>
      <c r="C134" s="26" t="s">
        <v>126</v>
      </c>
      <c r="D134" s="14">
        <v>1</v>
      </c>
      <c r="E134" s="102">
        <f aca="true" t="shared" si="70" ref="E134:O134">D134/(1+D133)</f>
        <v>0.9174311926605504</v>
      </c>
      <c r="F134" s="102">
        <f t="shared" si="70"/>
        <v>0.84167999326656</v>
      </c>
      <c r="G134" s="115">
        <f t="shared" si="70"/>
        <v>0.7721834800610641</v>
      </c>
      <c r="H134" s="102">
        <f t="shared" si="70"/>
        <v>0.7084252110651964</v>
      </c>
      <c r="I134" s="102">
        <f t="shared" si="70"/>
        <v>0.6499313862983452</v>
      </c>
      <c r="J134" s="102">
        <f t="shared" si="70"/>
        <v>0.5962673268792158</v>
      </c>
      <c r="K134" s="102">
        <f t="shared" si="70"/>
        <v>0.5470342448433172</v>
      </c>
      <c r="L134" s="102">
        <f t="shared" si="70"/>
        <v>0.501866279672768</v>
      </c>
      <c r="M134" s="115">
        <f t="shared" si="70"/>
        <v>0.4604277795163009</v>
      </c>
      <c r="N134" s="102">
        <f t="shared" si="70"/>
        <v>0.42241080689568883</v>
      </c>
      <c r="O134" s="102">
        <f t="shared" si="70"/>
        <v>0.38753285036301727</v>
      </c>
      <c r="P134" s="102">
        <f>O134/(1+O133)</f>
        <v>0.35553472510368556</v>
      </c>
      <c r="Q134" s="102">
        <f>P134/(1+P133)</f>
        <v>0.3261786468841152</v>
      </c>
      <c r="R134" s="66"/>
      <c r="S134" s="66"/>
      <c r="T134" s="66"/>
      <c r="U134" s="66"/>
      <c r="V134" s="66"/>
      <c r="W134" s="66"/>
    </row>
    <row r="135" spans="3:17" ht="10.5" customHeight="1" hidden="1">
      <c r="C135" s="4" t="s">
        <v>82</v>
      </c>
      <c r="E135" s="5">
        <f aca="true" t="shared" si="71" ref="E135:P135">E56</f>
        <v>110</v>
      </c>
      <c r="F135" s="5">
        <f t="shared" si="71"/>
        <v>-160</v>
      </c>
      <c r="G135" s="114">
        <f t="shared" si="71"/>
        <v>142.2</v>
      </c>
      <c r="H135" s="5">
        <f t="shared" si="71"/>
        <v>141.23000000000002</v>
      </c>
      <c r="I135" s="5">
        <f t="shared" si="71"/>
        <v>145.47389999999967</v>
      </c>
      <c r="J135" s="5">
        <f t="shared" si="71"/>
        <v>149.58336366666646</v>
      </c>
      <c r="K135" s="5">
        <f t="shared" si="71"/>
        <v>154.07086457666628</v>
      </c>
      <c r="L135" s="5">
        <f t="shared" si="71"/>
        <v>158.69299051396695</v>
      </c>
      <c r="M135" s="114">
        <f t="shared" si="71"/>
        <v>163.45378022938502</v>
      </c>
      <c r="N135" s="5">
        <f t="shared" si="71"/>
        <v>168.35739363626706</v>
      </c>
      <c r="O135" s="5">
        <f t="shared" si="71"/>
        <v>173.40811544535524</v>
      </c>
      <c r="P135" s="5">
        <f t="shared" si="71"/>
        <v>178.61035890871696</v>
      </c>
      <c r="Q135" s="95">
        <f>P135*(1+O$8)+P135*(1+O$8)*(1+O$8)/(P133-O$8)</f>
        <v>3342.0974991136095</v>
      </c>
    </row>
    <row r="136" spans="3:17" ht="10.5" customHeight="1" hidden="1">
      <c r="C136" s="26" t="s">
        <v>127</v>
      </c>
      <c r="E136" s="5">
        <f>E134*E135</f>
        <v>100.91743119266054</v>
      </c>
      <c r="F136" s="5">
        <f aca="true" t="shared" si="72" ref="F136:Q136">F134*F135</f>
        <v>-134.6687989226496</v>
      </c>
      <c r="G136" s="114">
        <f t="shared" si="72"/>
        <v>109.8044908646833</v>
      </c>
      <c r="H136" s="5">
        <f t="shared" si="72"/>
        <v>100.0508925587377</v>
      </c>
      <c r="I136" s="5">
        <f t="shared" si="72"/>
        <v>94.54805349722663</v>
      </c>
      <c r="J136" s="5">
        <f t="shared" si="72"/>
        <v>89.19167239912483</v>
      </c>
      <c r="K136" s="5">
        <f t="shared" si="72"/>
        <v>84.28203905605363</v>
      </c>
      <c r="L136" s="5">
        <f t="shared" si="72"/>
        <v>79.64266075939045</v>
      </c>
      <c r="M136" s="114">
        <f t="shared" si="72"/>
        <v>75.25866108456118</v>
      </c>
      <c r="N136" s="5">
        <f t="shared" si="72"/>
        <v>71.11598249275067</v>
      </c>
      <c r="O136" s="5">
        <f t="shared" si="72"/>
        <v>67.20134125461767</v>
      </c>
      <c r="P136" s="5">
        <f t="shared" si="72"/>
        <v>63.5021848552813</v>
      </c>
      <c r="Q136" s="5">
        <f t="shared" si="72"/>
        <v>1090.1208400156625</v>
      </c>
    </row>
    <row r="137" spans="1:23" s="91" customFormat="1" ht="12" customHeight="1" thickBot="1">
      <c r="A137" s="77">
        <v>5</v>
      </c>
      <c r="C137" s="92" t="s">
        <v>128</v>
      </c>
      <c r="D137" s="93">
        <f>SUM(E136:$Q136)/D134</f>
        <v>1890.9674511081007</v>
      </c>
      <c r="E137" s="93">
        <f>SUM(F136:$Q136)/E134</f>
        <v>1951.15452170783</v>
      </c>
      <c r="F137" s="93">
        <f>SUM(G136:$Q136)/F134</f>
        <v>2286.7584286615347</v>
      </c>
      <c r="G137" s="116">
        <f>SUM(H136:$Q136)/G134</f>
        <v>2350.3666872410736</v>
      </c>
      <c r="H137" s="93">
        <f>SUM(I136:$Q136)/H134</f>
        <v>2420.6696890927697</v>
      </c>
      <c r="I137" s="93">
        <f>SUM(J136:$Q136)/I134</f>
        <v>2493.05606111112</v>
      </c>
      <c r="J137" s="93">
        <f>SUM(K136:$Q136)/J134</f>
        <v>2567.8477429444542</v>
      </c>
      <c r="K137" s="93">
        <f>SUM(L136:$Q136)/K134</f>
        <v>2644.8831752327887</v>
      </c>
      <c r="L137" s="93">
        <f>SUM(M136:$Q136)/L134</f>
        <v>2724.229670489774</v>
      </c>
      <c r="M137" s="116">
        <f>SUM(N136:$Q136)/M134</f>
        <v>2805.9565606044685</v>
      </c>
      <c r="N137" s="93">
        <f>SUM(O136:$Q136)/N134</f>
        <v>2890.135257422604</v>
      </c>
      <c r="O137" s="93">
        <f>SUM(P136:$Q136)/O134</f>
        <v>2976.839315145283</v>
      </c>
      <c r="P137" s="93">
        <f>SUM(Q136:$Q136)/P134</f>
        <v>3066.144494599642</v>
      </c>
      <c r="Q137" s="94"/>
      <c r="R137" s="66"/>
      <c r="S137" s="66"/>
      <c r="T137" s="66"/>
      <c r="U137" s="66"/>
      <c r="V137" s="66"/>
      <c r="W137" s="66"/>
    </row>
    <row r="138" spans="1:17" ht="10.5" hidden="1">
      <c r="A138" s="20">
        <v>42</v>
      </c>
      <c r="C138" s="6" t="s">
        <v>129</v>
      </c>
      <c r="D138" s="6"/>
      <c r="E138" s="53" t="e">
        <f>#REF!/#REF!-1</f>
        <v>#REF!</v>
      </c>
      <c r="F138" s="53" t="e">
        <f>#REF!/#REF!-1</f>
        <v>#REF!</v>
      </c>
      <c r="G138" s="37" t="e">
        <f>#REF!/#REF!-1</f>
        <v>#REF!</v>
      </c>
      <c r="H138" s="53" t="e">
        <f>#REF!/#REF!-1</f>
        <v>#REF!</v>
      </c>
      <c r="I138" s="53" t="e">
        <f>#REF!/#REF!-1</f>
        <v>#REF!</v>
      </c>
      <c r="J138" s="53" t="e">
        <f>#REF!/#REF!-1</f>
        <v>#REF!</v>
      </c>
      <c r="K138" s="53" t="e">
        <f>#REF!/#REF!-1</f>
        <v>#REF!</v>
      </c>
      <c r="L138" s="53" t="e">
        <f>#REF!/#REF!-1</f>
        <v>#REF!</v>
      </c>
      <c r="M138" s="37" t="e">
        <f>#REF!/#REF!-1</f>
        <v>#REF!</v>
      </c>
      <c r="N138" s="53" t="e">
        <f>#REF!/#REF!-1</f>
        <v>#REF!</v>
      </c>
      <c r="O138" s="53" t="e">
        <f>#REF!/#REF!-1</f>
        <v>#REF!</v>
      </c>
      <c r="P138" s="53" t="e">
        <f>#REF!/#REF!-1</f>
        <v>#REF!</v>
      </c>
      <c r="Q138" s="53" t="e">
        <f>Q137/#REF!-1</f>
        <v>#REF!</v>
      </c>
    </row>
    <row r="139" spans="1:17" ht="6.75" customHeight="1">
      <c r="A139" s="20"/>
      <c r="D139" s="1"/>
      <c r="E139" s="1"/>
      <c r="F139" s="1"/>
      <c r="G139" s="36"/>
      <c r="H139" s="1"/>
      <c r="I139" s="1"/>
      <c r="J139" s="3"/>
      <c r="K139" s="3"/>
      <c r="L139" s="3"/>
      <c r="M139" s="43"/>
      <c r="N139" s="3"/>
      <c r="O139" s="3"/>
      <c r="P139" s="3"/>
      <c r="Q139" s="3"/>
    </row>
    <row r="140" spans="1:17" ht="10.5" customHeight="1">
      <c r="A140" s="20">
        <v>6</v>
      </c>
      <c r="C140" s="4" t="s">
        <v>130</v>
      </c>
      <c r="D140" s="1">
        <f aca="true" t="shared" si="73" ref="D140:Q140">D22</f>
        <v>1000</v>
      </c>
      <c r="E140" s="1">
        <f t="shared" si="73"/>
        <v>1000</v>
      </c>
      <c r="F140" s="1">
        <f t="shared" si="73"/>
        <v>1100</v>
      </c>
      <c r="G140" s="36">
        <f t="shared" si="73"/>
        <v>1100</v>
      </c>
      <c r="H140" s="1">
        <f t="shared" si="73"/>
        <v>1133</v>
      </c>
      <c r="I140" s="1">
        <f t="shared" si="73"/>
        <v>1166.99</v>
      </c>
      <c r="J140" s="1">
        <f t="shared" si="73"/>
        <v>1201.9997</v>
      </c>
      <c r="K140" s="1">
        <f t="shared" si="73"/>
        <v>1238.0596910000002</v>
      </c>
      <c r="L140" s="1">
        <f t="shared" si="73"/>
        <v>1275.2014817300003</v>
      </c>
      <c r="M140" s="36">
        <f t="shared" si="73"/>
        <v>1313.4575261819004</v>
      </c>
      <c r="N140" s="1">
        <f t="shared" si="73"/>
        <v>1352.8612519673575</v>
      </c>
      <c r="O140" s="1">
        <f t="shared" si="73"/>
        <v>1393.4470895263782</v>
      </c>
      <c r="P140" s="1">
        <f t="shared" si="73"/>
        <v>1435.2505022121695</v>
      </c>
      <c r="Q140" s="1">
        <f t="shared" si="73"/>
        <v>1478.3080172785346</v>
      </c>
    </row>
    <row r="141" spans="1:38" s="82" customFormat="1" ht="10.5" customHeight="1" hidden="1">
      <c r="A141" s="65"/>
      <c r="C141" s="26" t="s">
        <v>131</v>
      </c>
      <c r="D141" s="14">
        <v>1</v>
      </c>
      <c r="E141" s="102">
        <f aca="true" t="shared" si="74" ref="E141:Q141">D141/(1+D146)</f>
        <v>0.9433962264150942</v>
      </c>
      <c r="F141" s="102">
        <f t="shared" si="74"/>
        <v>0.8899964400142398</v>
      </c>
      <c r="G141" s="115">
        <f t="shared" si="74"/>
        <v>0.8396192830323017</v>
      </c>
      <c r="H141" s="102">
        <f t="shared" si="74"/>
        <v>0.7920936632380204</v>
      </c>
      <c r="I141" s="102">
        <f t="shared" si="74"/>
        <v>0.747258172866057</v>
      </c>
      <c r="J141" s="102">
        <f t="shared" si="74"/>
        <v>0.7049605404396764</v>
      </c>
      <c r="K141" s="102">
        <f t="shared" si="74"/>
        <v>0.6650571136223362</v>
      </c>
      <c r="L141" s="102">
        <f t="shared" si="74"/>
        <v>0.6274123713418266</v>
      </c>
      <c r="M141" s="115">
        <f t="shared" si="74"/>
        <v>0.5918984635300251</v>
      </c>
      <c r="N141" s="102">
        <f t="shared" si="74"/>
        <v>0.558394776915118</v>
      </c>
      <c r="O141" s="102">
        <f t="shared" si="74"/>
        <v>0.5267875253916207</v>
      </c>
      <c r="P141" s="102">
        <f t="shared" si="74"/>
        <v>0.4969693635770006</v>
      </c>
      <c r="Q141" s="102">
        <f t="shared" si="74"/>
        <v>0.4688390222424534</v>
      </c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</row>
    <row r="142" spans="1:17" s="82" customFormat="1" ht="10.5" customHeight="1" hidden="1">
      <c r="A142" s="65"/>
      <c r="C142" s="4" t="s">
        <v>83</v>
      </c>
      <c r="D142" s="103"/>
      <c r="E142" s="104">
        <f aca="true" t="shared" si="75" ref="E142:P142">E57</f>
        <v>60</v>
      </c>
      <c r="F142" s="104">
        <f t="shared" si="75"/>
        <v>-40</v>
      </c>
      <c r="G142" s="115">
        <f t="shared" si="75"/>
        <v>66</v>
      </c>
      <c r="H142" s="104">
        <f t="shared" si="75"/>
        <v>33</v>
      </c>
      <c r="I142" s="104">
        <f t="shared" si="75"/>
        <v>33.989999999999995</v>
      </c>
      <c r="J142" s="104">
        <f t="shared" si="75"/>
        <v>35.00969999999994</v>
      </c>
      <c r="K142" s="104">
        <f t="shared" si="75"/>
        <v>36.059990999999926</v>
      </c>
      <c r="L142" s="104">
        <f t="shared" si="75"/>
        <v>37.14179072999987</v>
      </c>
      <c r="M142" s="115">
        <f t="shared" si="75"/>
        <v>38.25604445189987</v>
      </c>
      <c r="N142" s="104">
        <f t="shared" si="75"/>
        <v>39.403725785457</v>
      </c>
      <c r="O142" s="104">
        <f t="shared" si="75"/>
        <v>40.585837559020675</v>
      </c>
      <c r="P142" s="104">
        <f t="shared" si="75"/>
        <v>41.803412685791415</v>
      </c>
      <c r="Q142" s="95">
        <f>P142*(1+O$8)+P142*(1+O$8)*(1+O$8)/(P146-O$8)</f>
        <v>1521.3655323449022</v>
      </c>
    </row>
    <row r="143" spans="1:17" s="82" customFormat="1" ht="10.5" customHeight="1" hidden="1">
      <c r="A143" s="65"/>
      <c r="C143" s="26" t="s">
        <v>132</v>
      </c>
      <c r="D143" s="103"/>
      <c r="E143" s="104">
        <f aca="true" t="shared" si="76" ref="E143:Q143">E142*E141</f>
        <v>56.60377358490565</v>
      </c>
      <c r="F143" s="104">
        <f t="shared" si="76"/>
        <v>-35.59985760056959</v>
      </c>
      <c r="G143" s="115">
        <f t="shared" si="76"/>
        <v>55.414872680131914</v>
      </c>
      <c r="H143" s="104">
        <f t="shared" si="76"/>
        <v>26.139090886854675</v>
      </c>
      <c r="I143" s="104">
        <f t="shared" si="76"/>
        <v>25.399305295717273</v>
      </c>
      <c r="J143" s="104">
        <f t="shared" si="76"/>
        <v>24.680457032630894</v>
      </c>
      <c r="K143" s="104">
        <f t="shared" si="76"/>
        <v>23.981953531707372</v>
      </c>
      <c r="L143" s="104">
        <f t="shared" si="76"/>
        <v>23.30321899779109</v>
      </c>
      <c r="M143" s="115">
        <f t="shared" si="76"/>
        <v>22.64369393181587</v>
      </c>
      <c r="N143" s="104">
        <f t="shared" si="76"/>
        <v>22.00283466959474</v>
      </c>
      <c r="O143" s="104">
        <f t="shared" si="76"/>
        <v>21.380112933662794</v>
      </c>
      <c r="P143" s="104">
        <f t="shared" si="76"/>
        <v>20.775015397804474</v>
      </c>
      <c r="Q143" s="104">
        <f t="shared" si="76"/>
        <v>713.2755286579536</v>
      </c>
    </row>
    <row r="144" spans="1:17" ht="10.5" customHeight="1" thickBot="1">
      <c r="A144" s="77">
        <v>7</v>
      </c>
      <c r="B144" s="78"/>
      <c r="C144" s="151" t="s">
        <v>133</v>
      </c>
      <c r="D144" s="93">
        <f>SUM(E143:$Q143)/D141</f>
        <v>1000.0000000000007</v>
      </c>
      <c r="E144" s="93">
        <f>SUM(F143:$Q143)/E141</f>
        <v>1000.000000000001</v>
      </c>
      <c r="F144" s="93">
        <f>SUM(G143:$Q143)/F141</f>
        <v>1100.000000000001</v>
      </c>
      <c r="G144" s="116">
        <f>SUM(H143:$Q143)/G141</f>
        <v>1100.0000000000011</v>
      </c>
      <c r="H144" s="93">
        <f>SUM(I143:$Q143)/H141</f>
        <v>1133.0000000000011</v>
      </c>
      <c r="I144" s="93">
        <f>SUM(J143:$Q143)/I141</f>
        <v>1166.9900000000014</v>
      </c>
      <c r="J144" s="93">
        <f>SUM(K143:$Q143)/J141</f>
        <v>1201.9997000000017</v>
      </c>
      <c r="K144" s="93">
        <f>SUM(L143:$Q143)/K141</f>
        <v>1238.0596910000017</v>
      </c>
      <c r="L144" s="93">
        <f>SUM(M143:$Q143)/L141</f>
        <v>1275.201481730002</v>
      </c>
      <c r="M144" s="116">
        <f>SUM(N143:$Q143)/M141</f>
        <v>1313.457526181902</v>
      </c>
      <c r="N144" s="93">
        <f>SUM(O143:$Q143)/N141</f>
        <v>1352.8612519673595</v>
      </c>
      <c r="O144" s="93">
        <f>SUM(P143:$Q143)/O141</f>
        <v>1393.4470895263805</v>
      </c>
      <c r="P144" s="93">
        <f>SUM(Q143:$Q143)/P141</f>
        <v>1435.250502212172</v>
      </c>
      <c r="Q144" s="80"/>
    </row>
    <row r="145" spans="1:17" ht="12" customHeight="1">
      <c r="A145" s="20">
        <v>8</v>
      </c>
      <c r="C145" s="7" t="s">
        <v>43</v>
      </c>
      <c r="D145" s="60">
        <f>D7</f>
        <v>0.06</v>
      </c>
      <c r="E145" s="177">
        <f aca="true" t="shared" si="77" ref="E145:Q145">D145</f>
        <v>0.06</v>
      </c>
      <c r="F145" s="177">
        <f t="shared" si="77"/>
        <v>0.06</v>
      </c>
      <c r="G145" s="178">
        <f t="shared" si="77"/>
        <v>0.06</v>
      </c>
      <c r="H145" s="177">
        <f t="shared" si="77"/>
        <v>0.06</v>
      </c>
      <c r="I145" s="177">
        <f t="shared" si="77"/>
        <v>0.06</v>
      </c>
      <c r="J145" s="177">
        <f t="shared" si="77"/>
        <v>0.06</v>
      </c>
      <c r="K145" s="177">
        <f t="shared" si="77"/>
        <v>0.06</v>
      </c>
      <c r="L145" s="177">
        <f t="shared" si="77"/>
        <v>0.06</v>
      </c>
      <c r="M145" s="178">
        <f t="shared" si="77"/>
        <v>0.06</v>
      </c>
      <c r="N145" s="177">
        <f t="shared" si="77"/>
        <v>0.06</v>
      </c>
      <c r="O145" s="177">
        <f t="shared" si="77"/>
        <v>0.06</v>
      </c>
      <c r="P145" s="177">
        <f t="shared" si="77"/>
        <v>0.06</v>
      </c>
      <c r="Q145" s="177">
        <f t="shared" si="77"/>
        <v>0.06</v>
      </c>
    </row>
    <row r="146" spans="1:23" s="132" customFormat="1" ht="12" customHeight="1">
      <c r="A146" s="20">
        <v>9</v>
      </c>
      <c r="C146" s="132" t="s">
        <v>44</v>
      </c>
      <c r="D146" s="60">
        <f>D8</f>
        <v>0.06</v>
      </c>
      <c r="E146" s="60">
        <f aca="true" t="shared" si="78" ref="E146:Q146">D146</f>
        <v>0.06</v>
      </c>
      <c r="F146" s="60">
        <f t="shared" si="78"/>
        <v>0.06</v>
      </c>
      <c r="G146" s="59">
        <f t="shared" si="78"/>
        <v>0.06</v>
      </c>
      <c r="H146" s="60">
        <f t="shared" si="78"/>
        <v>0.06</v>
      </c>
      <c r="I146" s="60">
        <f t="shared" si="78"/>
        <v>0.06</v>
      </c>
      <c r="J146" s="60">
        <f t="shared" si="78"/>
        <v>0.06</v>
      </c>
      <c r="K146" s="60">
        <f t="shared" si="78"/>
        <v>0.06</v>
      </c>
      <c r="L146" s="60">
        <f t="shared" si="78"/>
        <v>0.06</v>
      </c>
      <c r="M146" s="59">
        <f t="shared" si="78"/>
        <v>0.06</v>
      </c>
      <c r="N146" s="60">
        <f t="shared" si="78"/>
        <v>0.06</v>
      </c>
      <c r="O146" s="60">
        <f t="shared" si="78"/>
        <v>0.06</v>
      </c>
      <c r="P146" s="60">
        <f t="shared" si="78"/>
        <v>0.06</v>
      </c>
      <c r="Q146" s="60">
        <f t="shared" si="78"/>
        <v>0.06</v>
      </c>
      <c r="R146" s="131"/>
      <c r="S146" s="131"/>
      <c r="T146" s="131"/>
      <c r="U146" s="131"/>
      <c r="V146" s="131"/>
      <c r="W146" s="131"/>
    </row>
    <row r="147" spans="1:23" s="51" customFormat="1" ht="12" customHeight="1">
      <c r="A147" s="54">
        <v>10</v>
      </c>
      <c r="C147" s="51" t="s">
        <v>134</v>
      </c>
      <c r="D147" s="98">
        <f aca="true" t="shared" si="79" ref="D147:M147">(D146-D131)/D132</f>
        <v>0.24999999999999986</v>
      </c>
      <c r="E147" s="98">
        <f t="shared" si="79"/>
        <v>0.24999999999999986</v>
      </c>
      <c r="F147" s="98">
        <f t="shared" si="79"/>
        <v>0.24999999999999986</v>
      </c>
      <c r="G147" s="197">
        <f t="shared" si="79"/>
        <v>0.24999999999999986</v>
      </c>
      <c r="H147" s="98">
        <f t="shared" si="79"/>
        <v>0.24999999999999986</v>
      </c>
      <c r="I147" s="98">
        <f t="shared" si="79"/>
        <v>0.24999999999999986</v>
      </c>
      <c r="J147" s="99">
        <f t="shared" si="79"/>
        <v>0.24999999999999986</v>
      </c>
      <c r="K147" s="99">
        <f t="shared" si="79"/>
        <v>0.24999999999999986</v>
      </c>
      <c r="L147" s="99">
        <f t="shared" si="79"/>
        <v>0.24999999999999986</v>
      </c>
      <c r="M147" s="100">
        <f t="shared" si="79"/>
        <v>0.24999999999999986</v>
      </c>
      <c r="N147" s="99">
        <f>(N146-N131)/N132</f>
        <v>0.24999999999999986</v>
      </c>
      <c r="O147" s="99">
        <f>(O146-O131)/O132</f>
        <v>0.24999999999999986</v>
      </c>
      <c r="P147" s="99">
        <f>(P146-P131)/P132</f>
        <v>0.24999999999999986</v>
      </c>
      <c r="Q147" s="101">
        <f>(Q146-Q131)/Q132</f>
        <v>0.24999999999999986</v>
      </c>
      <c r="R147" s="82"/>
      <c r="S147" s="82"/>
      <c r="T147" s="82"/>
      <c r="U147" s="82"/>
      <c r="V147" s="82"/>
      <c r="W147" s="82"/>
    </row>
    <row r="148" spans="1:17" ht="9.75" customHeight="1">
      <c r="A148" s="20"/>
      <c r="D148"/>
      <c r="E148" s="52"/>
      <c r="F148" s="52"/>
      <c r="G148" s="196"/>
      <c r="H148" s="52"/>
      <c r="I148" s="52"/>
      <c r="J148" s="2"/>
      <c r="K148" s="2"/>
      <c r="L148" s="2"/>
      <c r="M148" s="9"/>
      <c r="N148" s="2"/>
      <c r="O148" s="2"/>
      <c r="P148" s="2"/>
      <c r="Q148" s="2"/>
    </row>
    <row r="149" spans="1:17" ht="9.75" customHeight="1">
      <c r="A149" s="20">
        <v>11</v>
      </c>
      <c r="C149" s="26" t="s">
        <v>135</v>
      </c>
      <c r="D149" s="52"/>
      <c r="E149" s="52">
        <f aca="true" t="shared" si="80" ref="E149:P149">D144*D133*$H$6+$F$1*(D140*D145-D144*D146)</f>
        <v>27.000000000000007</v>
      </c>
      <c r="F149" s="52">
        <f t="shared" si="80"/>
        <v>27.000000000000007</v>
      </c>
      <c r="G149" s="196">
        <f t="shared" si="80"/>
        <v>29.700000000000006</v>
      </c>
      <c r="H149" s="52">
        <f t="shared" si="80"/>
        <v>29.700000000000006</v>
      </c>
      <c r="I149" s="52">
        <f t="shared" si="80"/>
        <v>30.59100000000001</v>
      </c>
      <c r="J149" s="52">
        <f t="shared" si="80"/>
        <v>31.50873000000001</v>
      </c>
      <c r="K149" s="52">
        <f t="shared" si="80"/>
        <v>32.45399190000001</v>
      </c>
      <c r="L149" s="52">
        <f t="shared" si="80"/>
        <v>33.427611657000014</v>
      </c>
      <c r="M149" s="52">
        <f t="shared" si="80"/>
        <v>34.43044000671002</v>
      </c>
      <c r="N149" s="52">
        <f t="shared" si="80"/>
        <v>35.46335320691132</v>
      </c>
      <c r="O149" s="52">
        <f t="shared" si="80"/>
        <v>36.52725380311867</v>
      </c>
      <c r="P149" s="52">
        <f t="shared" si="80"/>
        <v>37.62307141721223</v>
      </c>
      <c r="Q149" s="95">
        <f>P149*(1+O$8)+P149*(1+O$8)*(1+O$8)/(P133-O$8)</f>
        <v>703.9903713350697</v>
      </c>
    </row>
    <row r="150" spans="3:17" ht="9.75" customHeight="1" hidden="1">
      <c r="C150" s="26" t="s">
        <v>136</v>
      </c>
      <c r="E150" s="5">
        <f>E134*E149</f>
        <v>24.770642201834868</v>
      </c>
      <c r="F150" s="5">
        <f aca="true" t="shared" si="81" ref="F150:Q150">F134*F149</f>
        <v>22.725359818197123</v>
      </c>
      <c r="G150" s="114">
        <f t="shared" si="81"/>
        <v>22.933849357813607</v>
      </c>
      <c r="H150" s="5">
        <f t="shared" si="81"/>
        <v>21.04022876863634</v>
      </c>
      <c r="I150" s="5">
        <f t="shared" si="81"/>
        <v>19.882051038252687</v>
      </c>
      <c r="J150" s="5">
        <f t="shared" si="81"/>
        <v>18.78762621045896</v>
      </c>
      <c r="K150" s="5">
        <f t="shared" si="81"/>
        <v>17.75344495116764</v>
      </c>
      <c r="L150" s="5">
        <f t="shared" si="81"/>
        <v>16.77619110064465</v>
      </c>
      <c r="M150" s="114">
        <f t="shared" si="81"/>
        <v>15.852731040058707</v>
      </c>
      <c r="N150" s="5">
        <f t="shared" si="81"/>
        <v>14.980103643358225</v>
      </c>
      <c r="O150" s="5">
        <f t="shared" si="81"/>
        <v>14.15551078225594</v>
      </c>
      <c r="P150" s="5">
        <f t="shared" si="81"/>
        <v>13.37630835387488</v>
      </c>
      <c r="Q150" s="5">
        <f t="shared" si="81"/>
        <v>229.6266267415188</v>
      </c>
    </row>
    <row r="151" spans="1:17" ht="9.75" customHeight="1">
      <c r="A151" s="20">
        <v>12</v>
      </c>
      <c r="C151" s="26" t="s">
        <v>137</v>
      </c>
      <c r="D151" s="83">
        <f>SUM(E150:$Q150)/D134</f>
        <v>452.6606740080724</v>
      </c>
      <c r="E151" s="83">
        <f>SUM(F150:$Q150)/E134</f>
        <v>466.4001346687989</v>
      </c>
      <c r="F151" s="83">
        <f>SUM(G150:$Q150)/F134</f>
        <v>481.376146788991</v>
      </c>
      <c r="G151" s="36">
        <f>SUM(H150:$Q150)/G134</f>
        <v>495.00000000000017</v>
      </c>
      <c r="H151" s="83">
        <f>SUM(I150:$Q150)/H134</f>
        <v>509.8500000000002</v>
      </c>
      <c r="I151" s="83">
        <f>SUM(J150:$Q150)/I134</f>
        <v>525.1455000000002</v>
      </c>
      <c r="J151" s="83">
        <f>SUM(K150:$Q150)/J134</f>
        <v>540.8998650000003</v>
      </c>
      <c r="K151" s="83">
        <f>SUM(L150:$Q150)/K134</f>
        <v>557.1268609500003</v>
      </c>
      <c r="L151" s="83">
        <f>SUM(M150:$Q150)/L134</f>
        <v>573.8406667785005</v>
      </c>
      <c r="M151" s="36">
        <f>SUM(N150:$Q150)/M134</f>
        <v>591.0558867818555</v>
      </c>
      <c r="N151" s="83">
        <f>SUM(O150:$Q150)/N134</f>
        <v>608.7875633853113</v>
      </c>
      <c r="O151" s="83">
        <f>SUM(P150:$Q150)/O134</f>
        <v>627.0511902868706</v>
      </c>
      <c r="P151" s="83">
        <f>SUM(Q150:$Q150)/P134</f>
        <v>645.8627259954767</v>
      </c>
      <c r="Q151" s="83">
        <f>SUM($Q150:R150)/Q134</f>
        <v>703.9903713350697</v>
      </c>
    </row>
    <row r="152" spans="1:17" ht="12" customHeight="1">
      <c r="A152" s="20">
        <v>13</v>
      </c>
      <c r="C152" s="26" t="s">
        <v>12</v>
      </c>
      <c r="D152" s="1">
        <f>D151+D137</f>
        <v>2343.628125116173</v>
      </c>
      <c r="E152" s="1">
        <f aca="true" t="shared" si="82" ref="E152:P152">E151+E137</f>
        <v>2417.554656376629</v>
      </c>
      <c r="F152" s="1">
        <f t="shared" si="82"/>
        <v>2768.1345754505255</v>
      </c>
      <c r="G152" s="36">
        <f t="shared" si="82"/>
        <v>2845.3666872410736</v>
      </c>
      <c r="H152" s="1">
        <f t="shared" si="82"/>
        <v>2930.51968909277</v>
      </c>
      <c r="I152" s="1">
        <f t="shared" si="82"/>
        <v>3018.20156111112</v>
      </c>
      <c r="J152" s="1">
        <f t="shared" si="82"/>
        <v>3108.7476079444546</v>
      </c>
      <c r="K152" s="1">
        <f t="shared" si="82"/>
        <v>3202.010036182789</v>
      </c>
      <c r="L152" s="1">
        <f t="shared" si="82"/>
        <v>3298.0703372682747</v>
      </c>
      <c r="M152" s="36">
        <f t="shared" si="82"/>
        <v>3397.012447386324</v>
      </c>
      <c r="N152" s="1">
        <f t="shared" si="82"/>
        <v>3498.9228208079153</v>
      </c>
      <c r="O152" s="1">
        <f t="shared" si="82"/>
        <v>3603.8905054321535</v>
      </c>
      <c r="P152" s="1">
        <f t="shared" si="82"/>
        <v>3712.0072205951183</v>
      </c>
      <c r="Q152" s="1"/>
    </row>
    <row r="153" spans="1:23" s="78" customFormat="1" ht="12" customHeight="1" thickBot="1">
      <c r="A153" s="77">
        <v>14</v>
      </c>
      <c r="B153" s="78" t="s">
        <v>138</v>
      </c>
      <c r="C153" s="91" t="s">
        <v>139</v>
      </c>
      <c r="D153" s="144">
        <f>D152-D144</f>
        <v>1343.6281251161724</v>
      </c>
      <c r="E153" s="144">
        <f aca="true" t="shared" si="83" ref="E153:P153">E152-E144</f>
        <v>1417.554656376628</v>
      </c>
      <c r="F153" s="144">
        <f t="shared" si="83"/>
        <v>1668.1345754505246</v>
      </c>
      <c r="G153" s="145">
        <f t="shared" si="83"/>
        <v>1745.3666872410724</v>
      </c>
      <c r="H153" s="144">
        <f t="shared" si="83"/>
        <v>1797.5196890927689</v>
      </c>
      <c r="I153" s="144">
        <f t="shared" si="83"/>
        <v>1851.2115611111187</v>
      </c>
      <c r="J153" s="93">
        <f t="shared" si="83"/>
        <v>1906.747907944453</v>
      </c>
      <c r="K153" s="93">
        <f t="shared" si="83"/>
        <v>1963.9503451827873</v>
      </c>
      <c r="L153" s="93">
        <f t="shared" si="83"/>
        <v>2022.8688555382728</v>
      </c>
      <c r="M153" s="116">
        <f t="shared" si="83"/>
        <v>2083.5549212044216</v>
      </c>
      <c r="N153" s="93">
        <f t="shared" si="83"/>
        <v>2146.061568840556</v>
      </c>
      <c r="O153" s="93">
        <f t="shared" si="83"/>
        <v>2210.443415905773</v>
      </c>
      <c r="P153" s="93">
        <f t="shared" si="83"/>
        <v>2276.756718382946</v>
      </c>
      <c r="Q153" s="93"/>
      <c r="R153" s="82"/>
      <c r="S153" s="82"/>
      <c r="T153" s="82"/>
      <c r="U153" s="82"/>
      <c r="V153" s="82"/>
      <c r="W153" s="82"/>
    </row>
    <row r="154" spans="1:17" ht="10.5" hidden="1">
      <c r="A154" s="20"/>
      <c r="C154" s="6" t="s">
        <v>140</v>
      </c>
      <c r="D154" s="6"/>
      <c r="E154" s="53">
        <f aca="true" t="shared" si="84" ref="E154:N154">E153/D153-1</f>
        <v>0.055020083219874394</v>
      </c>
      <c r="F154" s="53">
        <f t="shared" si="84"/>
        <v>0.17676914110274744</v>
      </c>
      <c r="G154" s="37">
        <f t="shared" si="84"/>
        <v>0.04629848989832808</v>
      </c>
      <c r="H154" s="53">
        <f t="shared" si="84"/>
        <v>0.029880828042006202</v>
      </c>
      <c r="I154" s="53">
        <f t="shared" si="84"/>
        <v>0.029869977138024417</v>
      </c>
      <c r="J154" s="53">
        <f t="shared" si="84"/>
        <v>0.03000000000000025</v>
      </c>
      <c r="K154" s="53">
        <f t="shared" si="84"/>
        <v>0.03000000000000047</v>
      </c>
      <c r="L154" s="53">
        <f t="shared" si="84"/>
        <v>0.030000000000000915</v>
      </c>
      <c r="M154" s="37">
        <f t="shared" si="84"/>
        <v>0.03000000000000025</v>
      </c>
      <c r="N154" s="53">
        <f t="shared" si="84"/>
        <v>0.030000000000000915</v>
      </c>
      <c r="O154" s="53">
        <f>O153/N153-1</f>
        <v>0.030000000000000027</v>
      </c>
      <c r="P154" s="53">
        <f>P153/O153-1</f>
        <v>0.030000000000000027</v>
      </c>
      <c r="Q154" s="53">
        <f>Q153/P153-1</f>
        <v>-1</v>
      </c>
    </row>
    <row r="155" spans="1:17" ht="9" customHeight="1">
      <c r="A155" s="20"/>
      <c r="C155" s="6"/>
      <c r="D155" s="6"/>
      <c r="E155" s="6"/>
      <c r="F155" s="6"/>
      <c r="G155" s="198"/>
      <c r="H155" s="6"/>
      <c r="I155" s="6"/>
      <c r="J155" s="6"/>
      <c r="K155" s="6"/>
      <c r="L155" s="6"/>
      <c r="M155" s="37"/>
      <c r="N155" s="6"/>
      <c r="O155" s="6"/>
      <c r="P155" s="6"/>
      <c r="Q155" s="53"/>
    </row>
    <row r="156" spans="1:17" ht="12.75" customHeight="1">
      <c r="A156" s="20">
        <v>15</v>
      </c>
      <c r="B156" s="4" t="s">
        <v>141</v>
      </c>
      <c r="C156" s="4" t="s">
        <v>142</v>
      </c>
      <c r="D156" s="14">
        <f>D130*(D144*(1-$F1)+D162)/D162-D147*D144*(1-$F1)/D162</f>
        <v>1.3907331129694889</v>
      </c>
      <c r="E156" s="14">
        <f aca="true" t="shared" si="85" ref="E156:P156">E130*(E144*(1-$F1)+E162)/E162-E147*E144*(1-$F1)/E162</f>
        <v>1.3703560900727019</v>
      </c>
      <c r="F156" s="14">
        <f t="shared" si="85"/>
        <v>1.346195090311602</v>
      </c>
      <c r="G156" s="119">
        <f t="shared" si="85"/>
        <v>1.3308760297888254</v>
      </c>
      <c r="H156" s="14">
        <f t="shared" si="85"/>
        <v>1.3309143168830693</v>
      </c>
      <c r="I156" s="14">
        <f t="shared" si="85"/>
        <v>1.3309560953866715</v>
      </c>
      <c r="J156" s="14">
        <f t="shared" si="85"/>
        <v>1.3309560953866715</v>
      </c>
      <c r="K156" s="14">
        <f t="shared" si="85"/>
        <v>1.3309560953866715</v>
      </c>
      <c r="L156" s="14">
        <f t="shared" si="85"/>
        <v>1.3309560953866713</v>
      </c>
      <c r="M156" s="119">
        <f t="shared" si="85"/>
        <v>1.330956095386671</v>
      </c>
      <c r="N156" s="14">
        <f t="shared" si="85"/>
        <v>1.3309560953866713</v>
      </c>
      <c r="O156" s="14">
        <f t="shared" si="85"/>
        <v>1.330956095386671</v>
      </c>
      <c r="P156" s="14">
        <f t="shared" si="85"/>
        <v>1.330956095386671</v>
      </c>
      <c r="Q156" s="14"/>
    </row>
    <row r="157" spans="1:23" s="7" customFormat="1" ht="12" customHeight="1">
      <c r="A157" s="20">
        <v>16</v>
      </c>
      <c r="C157" s="7" t="s">
        <v>2</v>
      </c>
      <c r="D157" s="60">
        <f>D131+D132*D156</f>
        <v>0.10562932451877956</v>
      </c>
      <c r="E157" s="60">
        <f>E131+E132*E156</f>
        <v>0.10481424360290809</v>
      </c>
      <c r="F157" s="60">
        <f aca="true" t="shared" si="86" ref="F157:P157">F131+F132*F156</f>
        <v>0.10384780361246408</v>
      </c>
      <c r="G157" s="59">
        <f t="shared" si="86"/>
        <v>0.10323504119155302</v>
      </c>
      <c r="H157" s="60">
        <f t="shared" si="86"/>
        <v>0.10323657267532277</v>
      </c>
      <c r="I157" s="60">
        <f t="shared" si="86"/>
        <v>0.10323824381546687</v>
      </c>
      <c r="J157" s="60">
        <f t="shared" si="86"/>
        <v>0.10323824381546687</v>
      </c>
      <c r="K157" s="60">
        <f t="shared" si="86"/>
        <v>0.10323824381546687</v>
      </c>
      <c r="L157" s="60">
        <f t="shared" si="86"/>
        <v>0.10323824381546685</v>
      </c>
      <c r="M157" s="59">
        <f t="shared" si="86"/>
        <v>0.10323824381546684</v>
      </c>
      <c r="N157" s="60">
        <f t="shared" si="86"/>
        <v>0.10323824381546685</v>
      </c>
      <c r="O157" s="60">
        <f t="shared" si="86"/>
        <v>0.10323824381546684</v>
      </c>
      <c r="P157" s="60">
        <f t="shared" si="86"/>
        <v>0.10323824381546684</v>
      </c>
      <c r="Q157" s="60">
        <f>P157</f>
        <v>0.10323824381546684</v>
      </c>
      <c r="R157" s="66"/>
      <c r="S157" s="66"/>
      <c r="T157" s="66"/>
      <c r="U157" s="66"/>
      <c r="V157" s="66"/>
      <c r="W157" s="66"/>
    </row>
    <row r="158" spans="1:17" ht="12" customHeight="1" hidden="1">
      <c r="A158" s="20"/>
      <c r="C158" s="26" t="s">
        <v>143</v>
      </c>
      <c r="D158" s="14">
        <v>1</v>
      </c>
      <c r="E158" s="14">
        <f>1/(1+D157)</f>
        <v>0.9044622621919383</v>
      </c>
      <c r="F158" s="55">
        <f aca="true" t="shared" si="87" ref="F158:Q158">E158/(1+E157)</f>
        <v>0.8186555046958824</v>
      </c>
      <c r="G158" s="117">
        <f t="shared" si="87"/>
        <v>0.7416380247500984</v>
      </c>
      <c r="H158" s="55">
        <f t="shared" si="87"/>
        <v>0.6722393661001644</v>
      </c>
      <c r="I158" s="55">
        <f t="shared" si="87"/>
        <v>0.6093338298874553</v>
      </c>
      <c r="J158" s="55">
        <f t="shared" si="87"/>
        <v>0.5523139116172404</v>
      </c>
      <c r="K158" s="55">
        <f t="shared" si="87"/>
        <v>0.5006297730462136</v>
      </c>
      <c r="L158" s="55">
        <f t="shared" si="87"/>
        <v>0.4537821054089124</v>
      </c>
      <c r="M158" s="117">
        <f t="shared" si="87"/>
        <v>0.4113183239909641</v>
      </c>
      <c r="N158" s="55">
        <f t="shared" si="87"/>
        <v>0.3728281958105898</v>
      </c>
      <c r="O158" s="55">
        <f t="shared" si="87"/>
        <v>0.3379398764506127</v>
      </c>
      <c r="P158" s="55">
        <f t="shared" si="87"/>
        <v>0.30631631775370016</v>
      </c>
      <c r="Q158" s="55">
        <f t="shared" si="87"/>
        <v>0.2776520116763974</v>
      </c>
    </row>
    <row r="159" spans="1:17" ht="12" customHeight="1" hidden="1">
      <c r="A159" s="20"/>
      <c r="B159" s="51"/>
      <c r="C159" s="51" t="s">
        <v>81</v>
      </c>
      <c r="D159" s="51"/>
      <c r="E159" s="51">
        <f aca="true" t="shared" si="88" ref="E159:P159">E55</f>
        <v>68</v>
      </c>
      <c r="F159" s="51">
        <f t="shared" si="88"/>
        <v>-102</v>
      </c>
      <c r="G159" s="120">
        <f t="shared" si="88"/>
        <v>96</v>
      </c>
      <c r="H159" s="51">
        <f t="shared" si="88"/>
        <v>128.03000000000003</v>
      </c>
      <c r="I159" s="51">
        <f t="shared" si="88"/>
        <v>131.87789999999967</v>
      </c>
      <c r="J159" s="51">
        <f t="shared" si="88"/>
        <v>135.57948366666653</v>
      </c>
      <c r="K159" s="51">
        <f t="shared" si="88"/>
        <v>139.64686817666637</v>
      </c>
      <c r="L159" s="51">
        <f t="shared" si="88"/>
        <v>143.83627422196707</v>
      </c>
      <c r="M159" s="120">
        <f t="shared" si="88"/>
        <v>148.15136244862515</v>
      </c>
      <c r="N159" s="51">
        <f t="shared" si="88"/>
        <v>152.59590332208427</v>
      </c>
      <c r="O159" s="51">
        <f t="shared" si="88"/>
        <v>157.17378042174698</v>
      </c>
      <c r="P159" s="51">
        <f t="shared" si="88"/>
        <v>161.88899383440037</v>
      </c>
      <c r="Q159" s="1">
        <f>P159*(1+O$8)+P159*(1+O$8)*(1+O$8)/(P157-O$8)</f>
        <v>2511.805083583867</v>
      </c>
    </row>
    <row r="160" spans="1:23" s="172" customFormat="1" ht="0.75" customHeight="1">
      <c r="A160" s="171"/>
      <c r="C160" s="173" t="s">
        <v>144</v>
      </c>
      <c r="D160" s="174"/>
      <c r="E160" s="174">
        <f>E159*E158</f>
        <v>61.5034338290518</v>
      </c>
      <c r="F160" s="174">
        <f>F159*F158</f>
        <v>-83.50286147898001</v>
      </c>
      <c r="G160" s="175">
        <f aca="true" t="shared" si="89" ref="G160:Q160">G159*G158</f>
        <v>71.19725037600945</v>
      </c>
      <c r="H160" s="174">
        <f t="shared" si="89"/>
        <v>86.06680604180407</v>
      </c>
      <c r="I160" s="174">
        <f t="shared" si="89"/>
        <v>80.35766588451465</v>
      </c>
      <c r="J160" s="174">
        <f t="shared" si="89"/>
        <v>74.88243495898234</v>
      </c>
      <c r="K160" s="174">
        <f t="shared" si="89"/>
        <v>69.911379921899</v>
      </c>
      <c r="L160" s="174">
        <f t="shared" si="89"/>
        <v>65.27032735061789</v>
      </c>
      <c r="M160" s="175">
        <f t="shared" si="89"/>
        <v>60.937370099346346</v>
      </c>
      <c r="N160" s="174">
        <f t="shared" si="89"/>
        <v>56.89205532365986</v>
      </c>
      <c r="O160" s="174">
        <f t="shared" si="89"/>
        <v>53.1152879370009</v>
      </c>
      <c r="P160" s="174">
        <f t="shared" si="89"/>
        <v>49.58924047620499</v>
      </c>
      <c r="Q160" s="174">
        <f t="shared" si="89"/>
        <v>697.4077343960622</v>
      </c>
      <c r="R160" s="176"/>
      <c r="S160" s="176"/>
      <c r="T160" s="176"/>
      <c r="U160" s="176"/>
      <c r="V160" s="176"/>
      <c r="W160" s="176"/>
    </row>
    <row r="161" spans="1:23" s="78" customFormat="1" ht="12.75" customHeight="1" thickBot="1">
      <c r="A161" s="77">
        <v>17</v>
      </c>
      <c r="C161" s="79" t="s">
        <v>145</v>
      </c>
      <c r="D161" s="93">
        <f>SUM(E160:$Q160)/D158</f>
        <v>1343.6281251161736</v>
      </c>
      <c r="E161" s="93">
        <f>SUM(F160:$Q160)/E158</f>
        <v>1417.554656376629</v>
      </c>
      <c r="F161" s="93">
        <f>SUM(G160:$Q160)/F158</f>
        <v>1668.1345754505255</v>
      </c>
      <c r="G161" s="116">
        <f>SUM(H160:$Q160)/G158</f>
        <v>1745.3666872410731</v>
      </c>
      <c r="H161" s="93">
        <f>SUM(I160:$Q160)/H158</f>
        <v>1797.5196890927698</v>
      </c>
      <c r="I161" s="93">
        <f>SUM(J160:$Q160)/I158</f>
        <v>1851.2115611111199</v>
      </c>
      <c r="J161" s="93">
        <f>SUM(K160:$Q160)/J158</f>
        <v>1906.747907944454</v>
      </c>
      <c r="K161" s="93">
        <f>SUM(L160:$Q160)/K158</f>
        <v>1963.9503451827884</v>
      </c>
      <c r="L161" s="93">
        <f>SUM(M160:$Q160)/L158</f>
        <v>2022.8688555382723</v>
      </c>
      <c r="M161" s="116">
        <f>SUM(N160:$Q160)/M158</f>
        <v>2083.5549212044216</v>
      </c>
      <c r="N161" s="93">
        <f>SUM(O160:$Q160)/N158</f>
        <v>2146.0615688405555</v>
      </c>
      <c r="O161" s="93">
        <f>SUM(P160:$Q160)/O158</f>
        <v>2210.443415905773</v>
      </c>
      <c r="P161" s="93">
        <f>SUM(Q160:$Q160)/P158</f>
        <v>2276.7567183829465</v>
      </c>
      <c r="Q161" s="93"/>
      <c r="R161" s="82"/>
      <c r="S161" s="82"/>
      <c r="T161" s="82"/>
      <c r="U161" s="82"/>
      <c r="V161" s="82"/>
      <c r="W161" s="82"/>
    </row>
    <row r="162" spans="1:17" ht="12" customHeight="1">
      <c r="A162" s="20">
        <v>18</v>
      </c>
      <c r="C162" s="106" t="s">
        <v>146</v>
      </c>
      <c r="D162" s="81">
        <f>D161</f>
        <v>1343.6281251161736</v>
      </c>
      <c r="E162" s="81">
        <f aca="true" t="shared" si="90" ref="E162:P162">D162*(1+D157)-E159</f>
        <v>1417.5546563766293</v>
      </c>
      <c r="F162" s="81">
        <f t="shared" si="90"/>
        <v>1668.134575450526</v>
      </c>
      <c r="G162" s="121">
        <f t="shared" si="90"/>
        <v>1745.3666872410734</v>
      </c>
      <c r="H162" s="81">
        <f t="shared" si="90"/>
        <v>1797.51968909277</v>
      </c>
      <c r="I162" s="81">
        <f t="shared" si="90"/>
        <v>1851.2115611111196</v>
      </c>
      <c r="J162" s="81">
        <f t="shared" si="90"/>
        <v>1906.7479079444538</v>
      </c>
      <c r="K162" s="81">
        <f t="shared" si="90"/>
        <v>1963.9503451827882</v>
      </c>
      <c r="L162" s="81">
        <f t="shared" si="90"/>
        <v>2022.8688555382723</v>
      </c>
      <c r="M162" s="121">
        <f t="shared" si="90"/>
        <v>2083.5549212044216</v>
      </c>
      <c r="N162" s="81">
        <f t="shared" si="90"/>
        <v>2146.061568840555</v>
      </c>
      <c r="O162" s="81">
        <f t="shared" si="90"/>
        <v>2210.443415905773</v>
      </c>
      <c r="P162" s="81">
        <f t="shared" si="90"/>
        <v>2276.756718382946</v>
      </c>
      <c r="Q162" s="81"/>
    </row>
    <row r="163" spans="1:13" ht="9" customHeight="1">
      <c r="A163" s="20"/>
      <c r="D163" s="50"/>
      <c r="E163" s="5"/>
      <c r="M163" s="38"/>
    </row>
    <row r="164" spans="1:23" s="7" customFormat="1" ht="10.5" customHeight="1">
      <c r="A164" s="20">
        <v>19</v>
      </c>
      <c r="C164" s="7" t="s">
        <v>4</v>
      </c>
      <c r="D164" s="58">
        <f>(D162*D157+D144*D146-D140*D145*$F1)/(D162+D144)</f>
        <v>0.07847940092941937</v>
      </c>
      <c r="E164" s="58">
        <f aca="true" t="shared" si="91" ref="E164:P164">(E162*E157+E144*E146-E140*E145*$F1)/(E162+E144)</f>
        <v>0.07883168993561995</v>
      </c>
      <c r="F164" s="58">
        <f t="shared" si="91"/>
        <v>0.07927075285161446</v>
      </c>
      <c r="G164" s="170">
        <f t="shared" si="91"/>
        <v>0.07956197802793645</v>
      </c>
      <c r="H164" s="58">
        <f t="shared" si="91"/>
        <v>0.07956123717105265</v>
      </c>
      <c r="I164" s="58">
        <f t="shared" si="91"/>
        <v>0.07956042883086961</v>
      </c>
      <c r="J164" s="58">
        <f t="shared" si="91"/>
        <v>0.0795604288308696</v>
      </c>
      <c r="K164" s="58">
        <f t="shared" si="91"/>
        <v>0.07956042883086961</v>
      </c>
      <c r="L164" s="58">
        <f t="shared" si="91"/>
        <v>0.07956042883086961</v>
      </c>
      <c r="M164" s="58">
        <f t="shared" si="91"/>
        <v>0.07956042883086961</v>
      </c>
      <c r="N164" s="58">
        <f t="shared" si="91"/>
        <v>0.07956042883086963</v>
      </c>
      <c r="O164" s="58">
        <f t="shared" si="91"/>
        <v>0.07956042883086963</v>
      </c>
      <c r="P164" s="58">
        <f t="shared" si="91"/>
        <v>0.07956042883086961</v>
      </c>
      <c r="Q164" s="58">
        <f>P164</f>
        <v>0.07956042883086961</v>
      </c>
      <c r="R164" s="66"/>
      <c r="S164" s="66"/>
      <c r="T164" s="66"/>
      <c r="U164" s="66"/>
      <c r="V164" s="66"/>
      <c r="W164" s="66"/>
    </row>
    <row r="165" spans="1:17" ht="10.5" customHeight="1" hidden="1">
      <c r="A165" s="20"/>
      <c r="C165" s="26" t="s">
        <v>147</v>
      </c>
      <c r="D165" s="14">
        <v>1</v>
      </c>
      <c r="E165" s="14">
        <f>1/(1+D164)</f>
        <v>0.9272314326432318</v>
      </c>
      <c r="F165" s="14">
        <f aca="true" t="shared" si="92" ref="F165:O165">E165/(1+E164)</f>
        <v>0.8594773784394164</v>
      </c>
      <c r="G165" s="119">
        <f t="shared" si="92"/>
        <v>0.7963501060030885</v>
      </c>
      <c r="H165" s="14">
        <f t="shared" si="92"/>
        <v>0.7376603865373267</v>
      </c>
      <c r="I165" s="14">
        <f t="shared" si="92"/>
        <v>0.6832964737325475</v>
      </c>
      <c r="J165" s="14">
        <f t="shared" si="92"/>
        <v>0.6329395330584101</v>
      </c>
      <c r="K165" s="14">
        <f t="shared" si="92"/>
        <v>0.5862937508221415</v>
      </c>
      <c r="L165" s="14">
        <f t="shared" si="92"/>
        <v>0.5430856255606548</v>
      </c>
      <c r="M165" s="119">
        <f t="shared" si="92"/>
        <v>0.5030618120643785</v>
      </c>
      <c r="N165" s="14">
        <f t="shared" si="92"/>
        <v>0.46598763592064857</v>
      </c>
      <c r="O165" s="14">
        <f t="shared" si="92"/>
        <v>0.4316457175308831</v>
      </c>
      <c r="P165" s="14">
        <f>O165/(1+O164)</f>
        <v>0.39983469753364526</v>
      </c>
      <c r="Q165" s="14">
        <f>P165/(1+P164)</f>
        <v>0.37036805616027796</v>
      </c>
    </row>
    <row r="166" spans="1:17" ht="10.5" customHeight="1" hidden="1">
      <c r="A166" s="54"/>
      <c r="B166" s="51"/>
      <c r="C166" s="51" t="s">
        <v>82</v>
      </c>
      <c r="D166" s="51"/>
      <c r="E166" s="51">
        <f aca="true" t="shared" si="93" ref="E166:P166">E56</f>
        <v>110</v>
      </c>
      <c r="F166" s="51">
        <f t="shared" si="93"/>
        <v>-160</v>
      </c>
      <c r="G166" s="120">
        <f t="shared" si="93"/>
        <v>142.2</v>
      </c>
      <c r="H166" s="51">
        <f t="shared" si="93"/>
        <v>141.23000000000002</v>
      </c>
      <c r="I166" s="51">
        <f t="shared" si="93"/>
        <v>145.47389999999967</v>
      </c>
      <c r="J166" s="51">
        <f t="shared" si="93"/>
        <v>149.58336366666646</v>
      </c>
      <c r="K166" s="51">
        <f t="shared" si="93"/>
        <v>154.07086457666628</v>
      </c>
      <c r="L166" s="51">
        <f t="shared" si="93"/>
        <v>158.69299051396695</v>
      </c>
      <c r="M166" s="120">
        <f t="shared" si="93"/>
        <v>163.45378022938502</v>
      </c>
      <c r="N166" s="51">
        <f t="shared" si="93"/>
        <v>168.35739363626706</v>
      </c>
      <c r="O166" s="51">
        <f t="shared" si="93"/>
        <v>173.40811544535524</v>
      </c>
      <c r="P166" s="51">
        <f t="shared" si="93"/>
        <v>178.61035890871696</v>
      </c>
      <c r="Q166" s="1">
        <f>P166*(1+O$8)+P166*(1+O$8)*(1+O$8)/(P164-O$8)</f>
        <v>4007.336106888951</v>
      </c>
    </row>
    <row r="167" spans="1:17" ht="0.75" customHeight="1">
      <c r="A167" s="20"/>
      <c r="C167" s="26" t="s">
        <v>127</v>
      </c>
      <c r="D167" s="1"/>
      <c r="E167" s="1">
        <f aca="true" t="shared" si="94" ref="E167:N167">E166*E165</f>
        <v>101.9954575907555</v>
      </c>
      <c r="F167" s="1">
        <f t="shared" si="94"/>
        <v>-137.51638055030662</v>
      </c>
      <c r="G167" s="36">
        <f t="shared" si="94"/>
        <v>113.24098507363918</v>
      </c>
      <c r="H167" s="1">
        <f t="shared" si="94"/>
        <v>104.17977639066666</v>
      </c>
      <c r="I167" s="1">
        <f t="shared" si="94"/>
        <v>99.40180289012102</v>
      </c>
      <c r="J167" s="1">
        <f t="shared" si="94"/>
        <v>94.67722435248622</v>
      </c>
      <c r="K167" s="1">
        <f t="shared" si="94"/>
        <v>90.3307850850639</v>
      </c>
      <c r="L167" s="1">
        <f t="shared" si="94"/>
        <v>86.18388202536879</v>
      </c>
      <c r="M167" s="36">
        <f t="shared" si="94"/>
        <v>82.2273548709671</v>
      </c>
      <c r="N167" s="1">
        <f t="shared" si="94"/>
        <v>78.45246385032613</v>
      </c>
      <c r="O167" s="1">
        <f>O166*O165</f>
        <v>74.85087041708857</v>
      </c>
      <c r="P167" s="1">
        <f>P166*P165</f>
        <v>71.41461883064267</v>
      </c>
      <c r="Q167" s="1">
        <f>Q166*Q165</f>
        <v>1484.1892842893565</v>
      </c>
    </row>
    <row r="168" spans="1:17" ht="10.5" customHeight="1">
      <c r="A168" s="20">
        <v>20</v>
      </c>
      <c r="B168" s="4" t="s">
        <v>148</v>
      </c>
      <c r="C168" s="51" t="s">
        <v>149</v>
      </c>
      <c r="D168" s="22">
        <f>SUM(E167:$Q167)/D165</f>
        <v>2343.6281251161754</v>
      </c>
      <c r="E168" s="22">
        <f>SUM(F167:$Q167)/E165</f>
        <v>2417.5546563766316</v>
      </c>
      <c r="F168" s="22">
        <f>SUM(G167:$Q167)/F165</f>
        <v>2768.134575450528</v>
      </c>
      <c r="G168" s="111">
        <f>SUM(H167:$Q167)/G165</f>
        <v>2845.366687241076</v>
      </c>
      <c r="H168" s="22">
        <f>SUM(I167:$Q167)/H165</f>
        <v>2930.5196890927728</v>
      </c>
      <c r="I168" s="22">
        <f>SUM(J167:$Q167)/I165</f>
        <v>3018.2015611111224</v>
      </c>
      <c r="J168" s="22">
        <f>SUM(K167:$Q167)/J165</f>
        <v>3108.7476079444564</v>
      </c>
      <c r="K168" s="22">
        <f>SUM(L167:$Q167)/K165</f>
        <v>3202.0100361827913</v>
      </c>
      <c r="L168" s="22">
        <f>SUM(M167:$Q167)/L165</f>
        <v>3298.0703372682756</v>
      </c>
      <c r="M168" s="111">
        <f>SUM(N167:$Q167)/M165</f>
        <v>3397.0124473863248</v>
      </c>
      <c r="N168" s="22">
        <f>SUM(O167:$Q167)/N165</f>
        <v>3498.9228208079157</v>
      </c>
      <c r="O168" s="22">
        <f>SUM(P167:$Q167)/O165</f>
        <v>3603.890505432154</v>
      </c>
      <c r="P168" s="22">
        <f>SUM(Q167:$Q167)/P165</f>
        <v>3712.0072205951187</v>
      </c>
      <c r="Q168" s="22"/>
    </row>
    <row r="169" spans="1:23" s="78" customFormat="1" ht="12.75" customHeight="1" thickBot="1">
      <c r="A169" s="77">
        <v>21</v>
      </c>
      <c r="B169" s="78" t="s">
        <v>138</v>
      </c>
      <c r="C169" s="91" t="s">
        <v>150</v>
      </c>
      <c r="D169" s="93">
        <f>D168-D144</f>
        <v>1343.6281251161747</v>
      </c>
      <c r="E169" s="93">
        <f aca="true" t="shared" si="95" ref="E169:P169">E168-E144</f>
        <v>1417.5546563766306</v>
      </c>
      <c r="F169" s="93">
        <f t="shared" si="95"/>
        <v>1668.1345754505269</v>
      </c>
      <c r="G169" s="116">
        <f t="shared" si="95"/>
        <v>1745.3666872410747</v>
      </c>
      <c r="H169" s="93">
        <f t="shared" si="95"/>
        <v>1797.5196890927716</v>
      </c>
      <c r="I169" s="93">
        <f t="shared" si="95"/>
        <v>1851.211561111121</v>
      </c>
      <c r="J169" s="93">
        <f t="shared" si="95"/>
        <v>1906.7479079444547</v>
      </c>
      <c r="K169" s="93">
        <f t="shared" si="95"/>
        <v>1963.9503451827895</v>
      </c>
      <c r="L169" s="93">
        <f t="shared" si="95"/>
        <v>2022.8688555382737</v>
      </c>
      <c r="M169" s="116">
        <f t="shared" si="95"/>
        <v>2083.5549212044225</v>
      </c>
      <c r="N169" s="93">
        <f t="shared" si="95"/>
        <v>2146.061568840556</v>
      </c>
      <c r="O169" s="93">
        <f t="shared" si="95"/>
        <v>2210.4434159057737</v>
      </c>
      <c r="P169" s="93">
        <f t="shared" si="95"/>
        <v>2276.756718382947</v>
      </c>
      <c r="Q169" s="133"/>
      <c r="R169" s="82"/>
      <c r="S169" s="82"/>
      <c r="T169" s="82"/>
      <c r="U169" s="82"/>
      <c r="V169" s="82"/>
      <c r="W169" s="82"/>
    </row>
    <row r="170" spans="1:17" ht="12.75" customHeight="1">
      <c r="A170" s="20">
        <v>22</v>
      </c>
      <c r="C170" s="85" t="s">
        <v>151</v>
      </c>
      <c r="D170" s="83">
        <f>D168</f>
        <v>2343.6281251161754</v>
      </c>
      <c r="E170" s="83">
        <f aca="true" t="shared" si="96" ref="E170:P170">D170*(1+D164)-E56</f>
        <v>2417.554656376631</v>
      </c>
      <c r="F170" s="83">
        <f t="shared" si="96"/>
        <v>2768.134575450528</v>
      </c>
      <c r="G170" s="36">
        <f t="shared" si="96"/>
        <v>2845.366687241076</v>
      </c>
      <c r="H170" s="83">
        <f t="shared" si="96"/>
        <v>2930.5196890927723</v>
      </c>
      <c r="I170" s="83">
        <f t="shared" si="96"/>
        <v>3018.201561111122</v>
      </c>
      <c r="J170" s="83">
        <f t="shared" si="96"/>
        <v>3108.747607944456</v>
      </c>
      <c r="K170" s="83">
        <f t="shared" si="96"/>
        <v>3202.0100361827904</v>
      </c>
      <c r="L170" s="83">
        <f t="shared" si="96"/>
        <v>3298.0703372682747</v>
      </c>
      <c r="M170" s="36">
        <f t="shared" si="96"/>
        <v>3397.0124473863243</v>
      </c>
      <c r="N170" s="83">
        <f t="shared" si="96"/>
        <v>3498.922820807915</v>
      </c>
      <c r="O170" s="83">
        <f t="shared" si="96"/>
        <v>3603.890505432153</v>
      </c>
      <c r="P170" s="83">
        <f t="shared" si="96"/>
        <v>3712.0072205951174</v>
      </c>
      <c r="Q170" s="105"/>
    </row>
    <row r="171" spans="1:17" ht="6.75" customHeight="1">
      <c r="A171" s="20"/>
      <c r="C171" s="6"/>
      <c r="D171" s="6"/>
      <c r="E171" s="53"/>
      <c r="F171" s="53"/>
      <c r="G171" s="37"/>
      <c r="H171" s="53"/>
      <c r="I171" s="53"/>
      <c r="J171" s="53"/>
      <c r="K171" s="53"/>
      <c r="L171" s="53"/>
      <c r="M171" s="37"/>
      <c r="N171" s="53"/>
      <c r="O171" s="53"/>
      <c r="P171" s="53"/>
      <c r="Q171" s="53"/>
    </row>
    <row r="172" spans="1:23" s="7" customFormat="1" ht="12" customHeight="1">
      <c r="A172" s="20">
        <v>23</v>
      </c>
      <c r="C172" s="7" t="s">
        <v>152</v>
      </c>
      <c r="D172" s="58">
        <f>(D144*D146+D153*D157)/(D144+D153)</f>
        <v>0.08615980030980645</v>
      </c>
      <c r="E172" s="58">
        <f aca="true" t="shared" si="97" ref="E172:P172">(E144*E146+E153*E157)/(E144+E153)</f>
        <v>0.08627722997853998</v>
      </c>
      <c r="F172" s="58">
        <f t="shared" si="97"/>
        <v>0.08642358428387148</v>
      </c>
      <c r="G172" s="170">
        <f t="shared" si="97"/>
        <v>0.0865206593426455</v>
      </c>
      <c r="H172" s="58">
        <f t="shared" si="97"/>
        <v>0.08652041239035088</v>
      </c>
      <c r="I172" s="58">
        <f t="shared" si="97"/>
        <v>0.0865201429436232</v>
      </c>
      <c r="J172" s="58">
        <f t="shared" si="97"/>
        <v>0.0865201429436232</v>
      </c>
      <c r="K172" s="58">
        <f t="shared" si="97"/>
        <v>0.08652014294362322</v>
      </c>
      <c r="L172" s="58">
        <f t="shared" si="97"/>
        <v>0.0865201429436232</v>
      </c>
      <c r="M172" s="170">
        <f t="shared" si="97"/>
        <v>0.0865201429436232</v>
      </c>
      <c r="N172" s="58">
        <f t="shared" si="97"/>
        <v>0.0865201429436232</v>
      </c>
      <c r="O172" s="58">
        <f t="shared" si="97"/>
        <v>0.0865201429436232</v>
      </c>
      <c r="P172" s="58">
        <f t="shared" si="97"/>
        <v>0.08652014294362319</v>
      </c>
      <c r="Q172" s="58">
        <f>P172</f>
        <v>0.08652014294362319</v>
      </c>
      <c r="R172" s="66"/>
      <c r="S172" s="66"/>
      <c r="T172" s="66"/>
      <c r="U172" s="66"/>
      <c r="V172" s="66"/>
      <c r="W172" s="66"/>
    </row>
    <row r="173" spans="1:17" ht="12" customHeight="1" hidden="1">
      <c r="A173" s="20"/>
      <c r="C173" s="26" t="s">
        <v>153</v>
      </c>
      <c r="D173" s="14">
        <v>1</v>
      </c>
      <c r="E173" s="14">
        <f>1/(1+D172)</f>
        <v>0.9206748396642639</v>
      </c>
      <c r="F173" s="14">
        <f aca="true" t="shared" si="98" ref="F173:Q173">E173/(1+E172)</f>
        <v>0.8475505278541579</v>
      </c>
      <c r="G173" s="119">
        <f t="shared" si="98"/>
        <v>0.7801289847852765</v>
      </c>
      <c r="H173" s="14">
        <f t="shared" si="98"/>
        <v>0.7180065819063775</v>
      </c>
      <c r="I173" s="14">
        <f t="shared" si="98"/>
        <v>0.6608311944427799</v>
      </c>
      <c r="J173" s="14">
        <f t="shared" si="98"/>
        <v>0.6082088755873795</v>
      </c>
      <c r="K173" s="14">
        <f t="shared" si="98"/>
        <v>0.5597768983275424</v>
      </c>
      <c r="L173" s="14">
        <f t="shared" si="98"/>
        <v>0.5152015836641399</v>
      </c>
      <c r="M173" s="119">
        <f t="shared" si="98"/>
        <v>0.47417582362379856</v>
      </c>
      <c r="N173" s="14">
        <f t="shared" si="98"/>
        <v>0.4364169653948167</v>
      </c>
      <c r="O173" s="14">
        <f t="shared" si="98"/>
        <v>0.40166486395039736</v>
      </c>
      <c r="P173" s="14">
        <f t="shared" si="98"/>
        <v>0.3696800897424676</v>
      </c>
      <c r="Q173" s="14">
        <f t="shared" si="98"/>
        <v>0.34024227911773686</v>
      </c>
    </row>
    <row r="174" spans="1:17" ht="12" customHeight="1" hidden="1">
      <c r="A174" s="54"/>
      <c r="B174" s="51"/>
      <c r="C174" s="51" t="s">
        <v>84</v>
      </c>
      <c r="D174" s="51"/>
      <c r="E174" s="28">
        <f aca="true" t="shared" si="99" ref="E174:P174">E58</f>
        <v>128</v>
      </c>
      <c r="F174" s="28">
        <f t="shared" si="99"/>
        <v>-142</v>
      </c>
      <c r="G174" s="122">
        <f t="shared" si="99"/>
        <v>162</v>
      </c>
      <c r="H174" s="28">
        <f t="shared" si="99"/>
        <v>161.03000000000003</v>
      </c>
      <c r="I174" s="28">
        <f t="shared" si="99"/>
        <v>165.86789999999968</v>
      </c>
      <c r="J174" s="28">
        <f t="shared" si="99"/>
        <v>170.5891836666665</v>
      </c>
      <c r="K174" s="28">
        <f t="shared" si="99"/>
        <v>175.70685917666628</v>
      </c>
      <c r="L174" s="28">
        <f t="shared" si="99"/>
        <v>180.97806495196693</v>
      </c>
      <c r="M174" s="122">
        <f t="shared" si="99"/>
        <v>186.40740690052502</v>
      </c>
      <c r="N174" s="28">
        <f t="shared" si="99"/>
        <v>191.99962910754127</v>
      </c>
      <c r="O174" s="28">
        <f t="shared" si="99"/>
        <v>197.75961798076764</v>
      </c>
      <c r="P174" s="28">
        <f t="shared" si="99"/>
        <v>203.69240652019178</v>
      </c>
      <c r="Q174" s="1">
        <f>P174*(1+O$8)+P174*(1+O$8)*(1+O$8)/(P172-O$8)</f>
        <v>4033.17061592877</v>
      </c>
    </row>
    <row r="175" spans="1:17" ht="12" customHeight="1" hidden="1">
      <c r="A175" s="20"/>
      <c r="C175" s="26" t="s">
        <v>154</v>
      </c>
      <c r="D175" s="1"/>
      <c r="E175" s="1">
        <f aca="true" t="shared" si="100" ref="E175:Q175">E174*E173</f>
        <v>117.84637947702578</v>
      </c>
      <c r="F175" s="1">
        <f t="shared" si="100"/>
        <v>-120.35217495529041</v>
      </c>
      <c r="G175" s="36">
        <f t="shared" si="100"/>
        <v>126.38089553521479</v>
      </c>
      <c r="H175" s="1">
        <f t="shared" si="100"/>
        <v>115.62059988438398</v>
      </c>
      <c r="I175" s="1">
        <f t="shared" si="100"/>
        <v>109.61068247671537</v>
      </c>
      <c r="J175" s="1">
        <f t="shared" si="100"/>
        <v>103.75385558527218</v>
      </c>
      <c r="K175" s="1">
        <f t="shared" si="100"/>
        <v>98.35664064478853</v>
      </c>
      <c r="L175" s="1">
        <f t="shared" si="100"/>
        <v>93.24018567172494</v>
      </c>
      <c r="M175" s="36">
        <f t="shared" si="100"/>
        <v>88.389885696633</v>
      </c>
      <c r="N175" s="1">
        <f t="shared" si="100"/>
        <v>83.79189549204348</v>
      </c>
      <c r="O175" s="1">
        <f t="shared" si="100"/>
        <v>79.43309005112759</v>
      </c>
      <c r="P175" s="1">
        <f t="shared" si="100"/>
        <v>75.30102712224368</v>
      </c>
      <c r="Q175" s="1">
        <f t="shared" si="100"/>
        <v>1372.2551624342912</v>
      </c>
    </row>
    <row r="176" spans="1:17" ht="12" customHeight="1">
      <c r="A176" s="20">
        <v>24</v>
      </c>
      <c r="B176" s="4" t="s">
        <v>148</v>
      </c>
      <c r="C176" s="51" t="s">
        <v>155</v>
      </c>
      <c r="D176" s="22">
        <f>SUM(E175:$Q175)/D173</f>
        <v>2343.628125116174</v>
      </c>
      <c r="E176" s="22">
        <f>SUM(F175:$Q175)/E173</f>
        <v>2417.55465637663</v>
      </c>
      <c r="F176" s="22">
        <f>SUM(G175:$Q175)/F173</f>
        <v>2768.1345754505264</v>
      </c>
      <c r="G176" s="111">
        <f>SUM(H175:$Q175)/G173</f>
        <v>2845.3666872410736</v>
      </c>
      <c r="H176" s="22">
        <f>SUM(I175:$Q175)/H173</f>
        <v>2930.5196890927705</v>
      </c>
      <c r="I176" s="22">
        <f>SUM(J175:$Q175)/I173</f>
        <v>3018.20156111112</v>
      </c>
      <c r="J176" s="22">
        <f>SUM(K175:$Q175)/J173</f>
        <v>3108.7476079444546</v>
      </c>
      <c r="K176" s="22">
        <f>SUM(L175:$Q175)/K173</f>
        <v>3202.0100361827895</v>
      </c>
      <c r="L176" s="22">
        <f>SUM(M175:$Q175)/L173</f>
        <v>3298.070337268274</v>
      </c>
      <c r="M176" s="111">
        <f>SUM(N175:$Q175)/M173</f>
        <v>3397.0124473863243</v>
      </c>
      <c r="N176" s="22">
        <f>SUM(O175:$Q175)/N173</f>
        <v>3498.9228208079153</v>
      </c>
      <c r="O176" s="22">
        <f>SUM(P175:$Q175)/O173</f>
        <v>3603.8905054321535</v>
      </c>
      <c r="P176" s="22">
        <f>SUM(Q175:$Q175)/P173</f>
        <v>3712.0072205951187</v>
      </c>
      <c r="Q176" s="22"/>
    </row>
    <row r="177" spans="1:23" s="78" customFormat="1" ht="12.75" customHeight="1" thickBot="1">
      <c r="A177" s="77">
        <v>25</v>
      </c>
      <c r="B177" s="78" t="s">
        <v>138</v>
      </c>
      <c r="C177" s="91" t="s">
        <v>156</v>
      </c>
      <c r="D177" s="93">
        <f>D176-D144</f>
        <v>1343.6281251161734</v>
      </c>
      <c r="E177" s="93">
        <f aca="true" t="shared" si="101" ref="E177:P177">E176-E144</f>
        <v>1417.5546563766293</v>
      </c>
      <c r="F177" s="93">
        <f t="shared" si="101"/>
        <v>1668.1345754505255</v>
      </c>
      <c r="G177" s="116">
        <f t="shared" si="101"/>
        <v>1745.3666872410724</v>
      </c>
      <c r="H177" s="93">
        <f t="shared" si="101"/>
        <v>1797.5196890927693</v>
      </c>
      <c r="I177" s="93">
        <f t="shared" si="101"/>
        <v>1851.2115611111187</v>
      </c>
      <c r="J177" s="93">
        <f t="shared" si="101"/>
        <v>1906.747907944453</v>
      </c>
      <c r="K177" s="93">
        <f t="shared" si="101"/>
        <v>1963.9503451827877</v>
      </c>
      <c r="L177" s="93">
        <f t="shared" si="101"/>
        <v>2022.8688555382723</v>
      </c>
      <c r="M177" s="116">
        <f t="shared" si="101"/>
        <v>2083.5549212044225</v>
      </c>
      <c r="N177" s="93">
        <f t="shared" si="101"/>
        <v>2146.061568840556</v>
      </c>
      <c r="O177" s="93">
        <f t="shared" si="101"/>
        <v>2210.443415905773</v>
      </c>
      <c r="P177" s="93">
        <f t="shared" si="101"/>
        <v>2276.756718382947</v>
      </c>
      <c r="Q177" s="133"/>
      <c r="R177" s="82"/>
      <c r="S177" s="82"/>
      <c r="T177" s="82"/>
      <c r="U177" s="82"/>
      <c r="V177" s="82"/>
      <c r="W177" s="82"/>
    </row>
    <row r="178" spans="1:17" ht="7.5" customHeight="1">
      <c r="A178" s="20"/>
      <c r="D178" s="49"/>
      <c r="E178" s="49"/>
      <c r="F178" s="49"/>
      <c r="G178" s="40"/>
      <c r="H178" s="49"/>
      <c r="I178" s="49"/>
      <c r="J178" s="27"/>
      <c r="K178" s="27"/>
      <c r="L178" s="27"/>
      <c r="M178" s="32"/>
      <c r="N178" s="27"/>
      <c r="O178" s="27"/>
      <c r="P178" s="27"/>
      <c r="Q178" s="27"/>
    </row>
    <row r="179" spans="1:17" ht="12.75" customHeight="1">
      <c r="A179" s="20">
        <v>26</v>
      </c>
      <c r="C179" s="86" t="s">
        <v>157</v>
      </c>
      <c r="D179" s="83"/>
      <c r="E179" s="83">
        <f aca="true" t="shared" si="102" ref="E179:P179">E40-D23*D157</f>
        <v>-7.629324518779555</v>
      </c>
      <c r="F179" s="83">
        <f t="shared" si="102"/>
        <v>25.041329089004677</v>
      </c>
      <c r="G179" s="36">
        <f t="shared" si="102"/>
        <v>29.632528430232924</v>
      </c>
      <c r="H179" s="83">
        <f t="shared" si="102"/>
        <v>30.627395215234486</v>
      </c>
      <c r="I179" s="83">
        <f t="shared" si="102"/>
        <v>31.551119092075254</v>
      </c>
      <c r="J179" s="83">
        <f t="shared" si="102"/>
        <v>32.24054135777433</v>
      </c>
      <c r="K179" s="83">
        <f t="shared" si="102"/>
        <v>33.20775759850753</v>
      </c>
      <c r="L179" s="83">
        <f t="shared" si="102"/>
        <v>34.2039903264627</v>
      </c>
      <c r="M179" s="36">
        <f t="shared" si="102"/>
        <v>35.23011003625675</v>
      </c>
      <c r="N179" s="83">
        <f t="shared" si="102"/>
        <v>36.28701333734432</v>
      </c>
      <c r="O179" s="83">
        <f t="shared" si="102"/>
        <v>37.375623737464764</v>
      </c>
      <c r="P179" s="83">
        <f t="shared" si="102"/>
        <v>38.49689244958864</v>
      </c>
      <c r="Q179" s="1">
        <f>P179*(1+O$8)+P179*(1+O$8)*(1+O$8)/(P157-O$8)</f>
        <v>597.302434629813</v>
      </c>
    </row>
    <row r="180" spans="1:20" s="51" customFormat="1" ht="12" customHeight="1">
      <c r="A180" s="54">
        <v>27</v>
      </c>
      <c r="C180" s="47" t="s">
        <v>22</v>
      </c>
      <c r="D180" s="22"/>
      <c r="E180" s="22">
        <f>E40+E36*(1-$F$1)-(D22+D23)*D164</f>
        <v>-16.95880185883874</v>
      </c>
      <c r="F180" s="22">
        <f aca="true" t="shared" si="103" ref="F180:P180">F40+F36*(1-$F$1)-(E22+E23)*E164</f>
        <v>14.971669430691492</v>
      </c>
      <c r="G180" s="111">
        <f t="shared" si="103"/>
        <v>19.724669505931786</v>
      </c>
      <c r="H180" s="22">
        <f t="shared" si="103"/>
        <v>20.794393392114415</v>
      </c>
      <c r="I180" s="22">
        <f t="shared" si="103"/>
        <v>21.42707948457226</v>
      </c>
      <c r="J180" s="22">
        <f t="shared" si="103"/>
        <v>21.817222426259576</v>
      </c>
      <c r="K180" s="22">
        <f t="shared" si="103"/>
        <v>22.47173909904737</v>
      </c>
      <c r="L180" s="22">
        <f t="shared" si="103"/>
        <v>23.1458912720187</v>
      </c>
      <c r="M180" s="111">
        <f t="shared" si="103"/>
        <v>23.840268010179386</v>
      </c>
      <c r="N180" s="22">
        <f t="shared" si="103"/>
        <v>24.555476050484657</v>
      </c>
      <c r="O180" s="22">
        <f t="shared" si="103"/>
        <v>25.292140331999235</v>
      </c>
      <c r="P180" s="22">
        <f t="shared" si="103"/>
        <v>26.05090454195914</v>
      </c>
      <c r="Q180" s="44"/>
      <c r="R180" s="82"/>
      <c r="S180" s="82"/>
      <c r="T180" s="82"/>
    </row>
    <row r="181" spans="1:17" ht="12.75" customHeight="1" hidden="1">
      <c r="A181" s="20"/>
      <c r="C181" s="66"/>
      <c r="D181" s="83"/>
      <c r="E181" s="83"/>
      <c r="F181" s="83"/>
      <c r="G181" s="36"/>
      <c r="H181" s="83"/>
      <c r="I181" s="83"/>
      <c r="J181" s="83"/>
      <c r="K181" s="83"/>
      <c r="L181" s="83"/>
      <c r="M181" s="36"/>
      <c r="N181" s="83"/>
      <c r="O181" s="83"/>
      <c r="P181" s="83"/>
      <c r="Q181" s="84"/>
    </row>
    <row r="182" spans="1:17" ht="12.75" customHeight="1" hidden="1">
      <c r="A182" s="20"/>
      <c r="C182" s="26" t="s">
        <v>143</v>
      </c>
      <c r="D182" s="83"/>
      <c r="E182" s="83">
        <f aca="true" t="shared" si="104" ref="E182:P182">E158</f>
        <v>0.9044622621919383</v>
      </c>
      <c r="F182" s="83">
        <f t="shared" si="104"/>
        <v>0.8186555046958824</v>
      </c>
      <c r="G182" s="36">
        <f t="shared" si="104"/>
        <v>0.7416380247500984</v>
      </c>
      <c r="H182" s="83">
        <f t="shared" si="104"/>
        <v>0.6722393661001644</v>
      </c>
      <c r="I182" s="83">
        <f t="shared" si="104"/>
        <v>0.6093338298874553</v>
      </c>
      <c r="J182" s="83">
        <f t="shared" si="104"/>
        <v>0.5523139116172404</v>
      </c>
      <c r="K182" s="83">
        <f t="shared" si="104"/>
        <v>0.5006297730462136</v>
      </c>
      <c r="L182" s="83">
        <f t="shared" si="104"/>
        <v>0.4537821054089124</v>
      </c>
      <c r="M182" s="36">
        <f t="shared" si="104"/>
        <v>0.4113183239909641</v>
      </c>
      <c r="N182" s="83">
        <f t="shared" si="104"/>
        <v>0.3728281958105898</v>
      </c>
      <c r="O182" s="83">
        <f t="shared" si="104"/>
        <v>0.3379398764506127</v>
      </c>
      <c r="P182" s="83">
        <f t="shared" si="104"/>
        <v>0.30631631775370016</v>
      </c>
      <c r="Q182" s="87">
        <f>P182/(1+$P157)</f>
        <v>0.2776520116763974</v>
      </c>
    </row>
    <row r="183" spans="1:17" ht="12.75" customHeight="1" hidden="1">
      <c r="A183" s="20"/>
      <c r="C183" s="26" t="s">
        <v>158</v>
      </c>
      <c r="D183" s="1"/>
      <c r="E183" s="1">
        <f>E179*E182</f>
        <v>-6.900436113251777</v>
      </c>
      <c r="F183" s="1">
        <f aca="true" t="shared" si="105" ref="F183:Q183">F179*F182</f>
        <v>20.500221903614804</v>
      </c>
      <c r="G183" s="36">
        <f t="shared" si="105"/>
        <v>21.976609853349082</v>
      </c>
      <c r="H183" s="1">
        <f t="shared" si="105"/>
        <v>20.58894074478844</v>
      </c>
      <c r="I183" s="1">
        <f t="shared" si="105"/>
        <v>19.225164233609426</v>
      </c>
      <c r="J183" s="1">
        <f t="shared" si="105"/>
        <v>17.806899509969757</v>
      </c>
      <c r="K183" s="1">
        <f t="shared" si="105"/>
        <v>16.624792149914498</v>
      </c>
      <c r="L183" s="1">
        <f t="shared" si="105"/>
        <v>15.521158743728318</v>
      </c>
      <c r="M183" s="36">
        <f t="shared" si="105"/>
        <v>14.490789814130368</v>
      </c>
      <c r="N183" s="1">
        <f t="shared" si="105"/>
        <v>13.52882171391689</v>
      </c>
      <c r="O183" s="1">
        <f t="shared" si="105"/>
        <v>12.630713668103429</v>
      </c>
      <c r="P183" s="1">
        <f t="shared" si="105"/>
        <v>11.792226340118216</v>
      </c>
      <c r="Q183" s="1">
        <f t="shared" si="105"/>
        <v>165.84222255417743</v>
      </c>
    </row>
    <row r="184" spans="1:17" ht="10.5" customHeight="1">
      <c r="A184" s="20">
        <v>28</v>
      </c>
      <c r="C184" s="51" t="s">
        <v>159</v>
      </c>
      <c r="D184" s="22">
        <f>SUM(E183:$Q183)/D158</f>
        <v>343.6281251161689</v>
      </c>
      <c r="E184" s="22">
        <f>SUM(F183:$Q183)/E158</f>
        <v>387.55465637662405</v>
      </c>
      <c r="F184" s="22">
        <f>SUM(G183:$Q183)/F158</f>
        <v>403.1345754505201</v>
      </c>
      <c r="G184" s="111">
        <f>SUM(H183:$Q183)/G158</f>
        <v>415.3666872410669</v>
      </c>
      <c r="H184" s="22">
        <f>SUM(I183:$Q183)/H158</f>
        <v>427.6196890927629</v>
      </c>
      <c r="I184" s="22">
        <f>SUM(J183:$Q183)/I158</f>
        <v>440.2145611111116</v>
      </c>
      <c r="J184" s="22">
        <f>SUM(K183:$Q183)/J158</f>
        <v>453.420997944445</v>
      </c>
      <c r="K184" s="22">
        <f>SUM(L183:$Q183)/K158</f>
        <v>467.0236278827784</v>
      </c>
      <c r="L184" s="22">
        <f>SUM(M183:$Q183)/L158</f>
        <v>481.03433671926183</v>
      </c>
      <c r="M184" s="111">
        <f>SUM(N183:$Q183)/M158</f>
        <v>495.4653668208396</v>
      </c>
      <c r="N184" s="22">
        <f>SUM(O183:$Q183)/N158</f>
        <v>510.3293278254648</v>
      </c>
      <c r="O184" s="22">
        <f>SUM(P183:$Q183)/O158</f>
        <v>525.6392076602287</v>
      </c>
      <c r="P184" s="22">
        <f>SUM(Q183:$Q183)/P158</f>
        <v>541.4083838900356</v>
      </c>
      <c r="Q184" s="84"/>
    </row>
    <row r="185" spans="1:23" s="78" customFormat="1" ht="12.75" customHeight="1" thickBot="1">
      <c r="A185" s="77">
        <v>29</v>
      </c>
      <c r="B185" s="78" t="s">
        <v>160</v>
      </c>
      <c r="C185" s="91" t="s">
        <v>161</v>
      </c>
      <c r="D185" s="93">
        <f>D184+D23</f>
        <v>1343.628125116169</v>
      </c>
      <c r="E185" s="93">
        <f aca="true" t="shared" si="106" ref="E185:P185">E184+E23</f>
        <v>1417.554656376624</v>
      </c>
      <c r="F185" s="93">
        <f t="shared" si="106"/>
        <v>1668.13457545052</v>
      </c>
      <c r="G185" s="116">
        <f t="shared" si="106"/>
        <v>1745.366687241067</v>
      </c>
      <c r="H185" s="93">
        <f t="shared" si="106"/>
        <v>1797.519689092763</v>
      </c>
      <c r="I185" s="93">
        <f t="shared" si="106"/>
        <v>1851.211561111112</v>
      </c>
      <c r="J185" s="93">
        <f t="shared" si="106"/>
        <v>1906.7479079444452</v>
      </c>
      <c r="K185" s="93">
        <f t="shared" si="106"/>
        <v>1963.9503451827786</v>
      </c>
      <c r="L185" s="93">
        <f t="shared" si="106"/>
        <v>2022.8688555382614</v>
      </c>
      <c r="M185" s="116">
        <f t="shared" si="106"/>
        <v>2083.5549212044098</v>
      </c>
      <c r="N185" s="93">
        <f t="shared" si="106"/>
        <v>2146.0615688405423</v>
      </c>
      <c r="O185" s="93">
        <f t="shared" si="106"/>
        <v>2210.4434159057582</v>
      </c>
      <c r="P185" s="93">
        <f t="shared" si="106"/>
        <v>2276.7567183829296</v>
      </c>
      <c r="Q185" s="109"/>
      <c r="R185" s="82"/>
      <c r="S185" s="82"/>
      <c r="T185" s="82"/>
      <c r="U185" s="82"/>
      <c r="V185" s="82"/>
      <c r="W185" s="82"/>
    </row>
    <row r="186" spans="1:17" s="82" customFormat="1" ht="6.75" customHeight="1">
      <c r="A186" s="65"/>
      <c r="C186" s="66"/>
      <c r="D186" s="67"/>
      <c r="E186" s="67"/>
      <c r="F186" s="67"/>
      <c r="G186" s="118"/>
      <c r="H186" s="67"/>
      <c r="I186" s="67"/>
      <c r="J186" s="67"/>
      <c r="K186" s="67"/>
      <c r="L186" s="67"/>
      <c r="M186" s="118"/>
      <c r="N186" s="67"/>
      <c r="O186" s="67"/>
      <c r="P186" s="67"/>
      <c r="Q186" s="84"/>
    </row>
    <row r="187" spans="1:17" s="82" customFormat="1" ht="12" customHeight="1" hidden="1">
      <c r="A187" s="88"/>
      <c r="C187" s="82" t="s">
        <v>22</v>
      </c>
      <c r="D187" s="71"/>
      <c r="E187" s="71">
        <f aca="true" t="shared" si="107" ref="E187:P187">E180</f>
        <v>-16.95880185883874</v>
      </c>
      <c r="F187" s="71">
        <f t="shared" si="107"/>
        <v>14.971669430691492</v>
      </c>
      <c r="G187" s="114">
        <f t="shared" si="107"/>
        <v>19.724669505931786</v>
      </c>
      <c r="H187" s="71">
        <f t="shared" si="107"/>
        <v>20.794393392114415</v>
      </c>
      <c r="I187" s="71">
        <f t="shared" si="107"/>
        <v>21.42707948457226</v>
      </c>
      <c r="J187" s="71">
        <f t="shared" si="107"/>
        <v>21.817222426259576</v>
      </c>
      <c r="K187" s="71">
        <f t="shared" si="107"/>
        <v>22.47173909904737</v>
      </c>
      <c r="L187" s="71">
        <f t="shared" si="107"/>
        <v>23.1458912720187</v>
      </c>
      <c r="M187" s="114">
        <f t="shared" si="107"/>
        <v>23.840268010179386</v>
      </c>
      <c r="N187" s="71">
        <f t="shared" si="107"/>
        <v>24.555476050484657</v>
      </c>
      <c r="O187" s="71">
        <f t="shared" si="107"/>
        <v>25.292140331999235</v>
      </c>
      <c r="P187" s="71">
        <f t="shared" si="107"/>
        <v>26.05090454195914</v>
      </c>
      <c r="Q187" s="1">
        <f>P187*(1+O$8)+P187*(1+O$8)*(1+O$8)/(P164-O$8)</f>
        <v>584.4830670849478</v>
      </c>
    </row>
    <row r="188" spans="1:17" ht="12" customHeight="1" hidden="1">
      <c r="A188" s="20"/>
      <c r="C188" s="26" t="s">
        <v>162</v>
      </c>
      <c r="D188" s="1"/>
      <c r="E188" s="1">
        <f>E187*E165</f>
        <v>-15.724734143483747</v>
      </c>
      <c r="F188" s="1">
        <f aca="true" t="shared" si="108" ref="F188:Q188">F187*F165</f>
        <v>12.867811193152273</v>
      </c>
      <c r="G188" s="36">
        <f t="shared" si="108"/>
        <v>15.707742651924665</v>
      </c>
      <c r="H188" s="1">
        <f t="shared" si="108"/>
        <v>15.33920026743635</v>
      </c>
      <c r="I188" s="1">
        <f t="shared" si="108"/>
        <v>14.641047854195238</v>
      </c>
      <c r="J188" s="1">
        <f t="shared" si="108"/>
        <v>13.80898257510821</v>
      </c>
      <c r="K188" s="1">
        <f t="shared" si="108"/>
        <v>13.175040203877053</v>
      </c>
      <c r="L188" s="1">
        <f t="shared" si="108"/>
        <v>12.570200840623176</v>
      </c>
      <c r="M188" s="36">
        <f t="shared" si="108"/>
        <v>11.993128425301277</v>
      </c>
      <c r="N188" s="1">
        <f t="shared" si="108"/>
        <v>11.44254823367145</v>
      </c>
      <c r="O188" s="1">
        <f t="shared" si="108"/>
        <v>10.917244061497598</v>
      </c>
      <c r="P188" s="1">
        <f t="shared" si="108"/>
        <v>10.416055538012099</v>
      </c>
      <c r="Q188" s="1">
        <f t="shared" si="108"/>
        <v>216.47385741484948</v>
      </c>
    </row>
    <row r="189" spans="1:17" ht="12" customHeight="1">
      <c r="A189" s="20">
        <v>30</v>
      </c>
      <c r="C189" s="51" t="s">
        <v>163</v>
      </c>
      <c r="D189" s="22">
        <f>SUM(E188:$Q188)/D165</f>
        <v>343.6281251161651</v>
      </c>
      <c r="E189" s="22">
        <f>SUM(F188:$Q188)/E165</f>
        <v>387.55465637662013</v>
      </c>
      <c r="F189" s="22">
        <f>SUM(G188:$Q188)/F165</f>
        <v>403.13457545051597</v>
      </c>
      <c r="G189" s="111">
        <f>SUM(H188:$Q188)/G165</f>
        <v>415.3666872410626</v>
      </c>
      <c r="H189" s="22">
        <f>SUM(I188:$Q188)/H165</f>
        <v>427.61968909275834</v>
      </c>
      <c r="I189" s="22">
        <f>SUM(J188:$Q188)/I165</f>
        <v>440.21456111110683</v>
      </c>
      <c r="J189" s="22">
        <f>SUM(K188:$Q188)/J165</f>
        <v>453.42099794443993</v>
      </c>
      <c r="K189" s="22">
        <f>SUM(L188:$Q188)/K165</f>
        <v>467.02362788277304</v>
      </c>
      <c r="L189" s="22">
        <f>SUM(M188:$Q188)/L165</f>
        <v>481.03433671925626</v>
      </c>
      <c r="M189" s="111">
        <f>SUM(N188:$Q188)/M165</f>
        <v>495.46536682083376</v>
      </c>
      <c r="N189" s="22">
        <f>SUM(O188:$Q188)/N165</f>
        <v>510.32932782545873</v>
      </c>
      <c r="O189" s="22">
        <f>SUM(P188:$Q188)/O165</f>
        <v>525.6392076602224</v>
      </c>
      <c r="P189" s="22">
        <f>SUM(Q188:$Q188)/P165</f>
        <v>541.4083838900291</v>
      </c>
      <c r="Q189" s="22"/>
    </row>
    <row r="190" spans="1:23" s="78" customFormat="1" ht="12.75" customHeight="1" thickBot="1">
      <c r="A190" s="77">
        <v>31</v>
      </c>
      <c r="B190" s="78" t="s">
        <v>164</v>
      </c>
      <c r="C190" s="91"/>
      <c r="D190" s="93">
        <f>D189+D23-(D144-D140)</f>
        <v>1343.6281251161645</v>
      </c>
      <c r="E190" s="93">
        <f aca="true" t="shared" si="109" ref="E190:P190">E189+E23-(E144-E140)</f>
        <v>1417.5546563766193</v>
      </c>
      <c r="F190" s="93">
        <f t="shared" si="109"/>
        <v>1668.134575450515</v>
      </c>
      <c r="G190" s="116">
        <f t="shared" si="109"/>
        <v>1745.3666872410615</v>
      </c>
      <c r="H190" s="93">
        <f t="shared" si="109"/>
        <v>1797.5196890927573</v>
      </c>
      <c r="I190" s="93">
        <f t="shared" si="109"/>
        <v>1851.2115611111058</v>
      </c>
      <c r="J190" s="93">
        <f t="shared" si="109"/>
        <v>1906.7479079444386</v>
      </c>
      <c r="K190" s="93">
        <f t="shared" si="109"/>
        <v>1963.9503451827718</v>
      </c>
      <c r="L190" s="93">
        <f t="shared" si="109"/>
        <v>2022.8688555382544</v>
      </c>
      <c r="M190" s="116">
        <f t="shared" si="109"/>
        <v>2083.5549212044025</v>
      </c>
      <c r="N190" s="93">
        <f t="shared" si="109"/>
        <v>2146.061568840534</v>
      </c>
      <c r="O190" s="93">
        <f t="shared" si="109"/>
        <v>2210.4434159057496</v>
      </c>
      <c r="P190" s="93">
        <f t="shared" si="109"/>
        <v>2276.7567183829206</v>
      </c>
      <c r="Q190" s="109"/>
      <c r="R190" s="82"/>
      <c r="S190" s="82"/>
      <c r="T190" s="82"/>
      <c r="U190" s="82"/>
      <c r="V190" s="82"/>
      <c r="W190" s="82"/>
    </row>
    <row r="191" spans="1:17" s="82" customFormat="1" ht="12.75" customHeight="1">
      <c r="A191" t="s">
        <v>165</v>
      </c>
      <c r="C191" s="66"/>
      <c r="D191" s="67"/>
      <c r="E191" s="67"/>
      <c r="F191" s="67"/>
      <c r="G191" s="118"/>
      <c r="H191" s="67"/>
      <c r="I191" s="67"/>
      <c r="J191" s="67"/>
      <c r="K191" s="67"/>
      <c r="L191" s="67"/>
      <c r="M191" s="118"/>
      <c r="N191" s="67"/>
      <c r="O191" s="67"/>
      <c r="P191" s="67"/>
      <c r="Q191" s="84"/>
    </row>
    <row r="192" spans="1:17" ht="12" customHeight="1" thickBot="1">
      <c r="A192" s="20"/>
      <c r="B192"/>
      <c r="C192"/>
      <c r="D192" s="127">
        <v>0</v>
      </c>
      <c r="E192" s="127">
        <v>1</v>
      </c>
      <c r="F192" s="127">
        <f aca="true" t="shared" si="110" ref="F192:Q192">E192+1</f>
        <v>2</v>
      </c>
      <c r="G192" s="137">
        <f t="shared" si="110"/>
        <v>3</v>
      </c>
      <c r="H192" s="127">
        <f t="shared" si="110"/>
        <v>4</v>
      </c>
      <c r="I192" s="127">
        <f t="shared" si="110"/>
        <v>5</v>
      </c>
      <c r="J192" s="127">
        <f t="shared" si="110"/>
        <v>6</v>
      </c>
      <c r="K192" s="127">
        <f t="shared" si="110"/>
        <v>7</v>
      </c>
      <c r="L192" s="127">
        <f t="shared" si="110"/>
        <v>8</v>
      </c>
      <c r="M192" s="137">
        <f t="shared" si="110"/>
        <v>9</v>
      </c>
      <c r="N192" s="127">
        <f t="shared" si="110"/>
        <v>10</v>
      </c>
      <c r="O192" s="127">
        <f t="shared" si="110"/>
        <v>11</v>
      </c>
      <c r="P192" s="127">
        <f t="shared" si="110"/>
        <v>12</v>
      </c>
      <c r="Q192" s="127">
        <f t="shared" si="110"/>
        <v>13</v>
      </c>
    </row>
    <row r="193" spans="1:17" ht="12" customHeight="1">
      <c r="A193" s="54">
        <v>27</v>
      </c>
      <c r="B193" s="51"/>
      <c r="C193" s="47" t="s">
        <v>18</v>
      </c>
      <c r="D193" s="51"/>
      <c r="E193" s="72">
        <f aca="true" t="shared" si="111" ref="E193:Q193">E$55-D153*(D157-D$133)</f>
        <v>46.99999999999999</v>
      </c>
      <c r="F193" s="72">
        <f t="shared" si="111"/>
        <v>-123.00000000000003</v>
      </c>
      <c r="G193" s="72">
        <f t="shared" si="111"/>
        <v>72.89999999999998</v>
      </c>
      <c r="H193" s="72">
        <f t="shared" si="111"/>
        <v>104.92999999999999</v>
      </c>
      <c r="I193" s="72">
        <f t="shared" si="111"/>
        <v>108.08489999999964</v>
      </c>
      <c r="J193" s="72">
        <f t="shared" si="111"/>
        <v>111.0726936666665</v>
      </c>
      <c r="K193" s="72">
        <f t="shared" si="111"/>
        <v>114.40487447666632</v>
      </c>
      <c r="L193" s="72">
        <f t="shared" si="111"/>
        <v>117.83702071096701</v>
      </c>
      <c r="M193" s="72">
        <f t="shared" si="111"/>
        <v>121.37213133229508</v>
      </c>
      <c r="N193" s="72">
        <f t="shared" si="111"/>
        <v>125.01329527226433</v>
      </c>
      <c r="O193" s="72">
        <f t="shared" si="111"/>
        <v>128.76369413043238</v>
      </c>
      <c r="P193" s="72">
        <f t="shared" si="111"/>
        <v>132.62660495434636</v>
      </c>
      <c r="Q193" s="72">
        <f t="shared" si="111"/>
        <v>136.60540310297455</v>
      </c>
    </row>
    <row r="194" spans="1:23" s="7" customFormat="1" ht="12" customHeight="1">
      <c r="A194" s="54">
        <v>28</v>
      </c>
      <c r="B194" s="47"/>
      <c r="C194" s="47" t="s">
        <v>15</v>
      </c>
      <c r="D194" s="47"/>
      <c r="E194" s="72">
        <f aca="true" t="shared" si="112" ref="E194:Q194">E$56-D168*(D164-D$133)</f>
        <v>137.00000000000003</v>
      </c>
      <c r="F194" s="72">
        <f t="shared" si="112"/>
        <v>-133.00000000000003</v>
      </c>
      <c r="G194" s="72">
        <f t="shared" si="112"/>
        <v>171.89999999999998</v>
      </c>
      <c r="H194" s="72">
        <f t="shared" si="112"/>
        <v>170.93000000000004</v>
      </c>
      <c r="I194" s="72">
        <f t="shared" si="112"/>
        <v>176.06489999999965</v>
      </c>
      <c r="J194" s="72">
        <f t="shared" si="112"/>
        <v>181.09209366666644</v>
      </c>
      <c r="K194" s="72">
        <f t="shared" si="112"/>
        <v>186.52485647666632</v>
      </c>
      <c r="L194" s="72">
        <f t="shared" si="112"/>
        <v>192.12060217096695</v>
      </c>
      <c r="M194" s="72">
        <f t="shared" si="112"/>
        <v>197.88422023609502</v>
      </c>
      <c r="N194" s="72">
        <f t="shared" si="112"/>
        <v>203.82074684317837</v>
      </c>
      <c r="O194" s="72">
        <f t="shared" si="112"/>
        <v>209.93536924847388</v>
      </c>
      <c r="P194" s="72">
        <f t="shared" si="112"/>
        <v>216.23343032592916</v>
      </c>
      <c r="Q194" s="72">
        <f t="shared" si="112"/>
        <v>222.72043323570477</v>
      </c>
      <c r="R194" s="66"/>
      <c r="S194" s="66"/>
      <c r="T194" s="66"/>
      <c r="U194" s="66"/>
      <c r="V194" s="66"/>
      <c r="W194" s="66"/>
    </row>
    <row r="195" spans="1:23" s="7" customFormat="1" ht="12" customHeight="1">
      <c r="A195" s="65"/>
      <c r="B195" s="66"/>
      <c r="C195" s="66"/>
      <c r="D195" s="113"/>
      <c r="E195" s="74"/>
      <c r="F195" s="74"/>
      <c r="G195" s="75"/>
      <c r="H195" s="74"/>
      <c r="I195" s="74"/>
      <c r="J195" s="74"/>
      <c r="K195" s="74"/>
      <c r="L195" s="74"/>
      <c r="M195" s="75"/>
      <c r="N195" s="74"/>
      <c r="O195" s="74"/>
      <c r="P195" s="74"/>
      <c r="Q195" s="74"/>
      <c r="R195" s="66"/>
      <c r="S195" s="66"/>
      <c r="T195" s="66"/>
      <c r="U195" s="66"/>
      <c r="V195" s="66"/>
      <c r="W195" s="66"/>
    </row>
    <row r="196" spans="1:23" s="7" customFormat="1" ht="12" customHeight="1">
      <c r="A196" s="20"/>
      <c r="C196" s="7" t="s">
        <v>1</v>
      </c>
      <c r="D196" s="60">
        <f aca="true" t="shared" si="113" ref="D196:Q196">D$133</f>
        <v>0.09</v>
      </c>
      <c r="E196" s="60">
        <f t="shared" si="113"/>
        <v>0.09</v>
      </c>
      <c r="F196" s="60">
        <f t="shared" si="113"/>
        <v>0.09</v>
      </c>
      <c r="G196" s="60">
        <f t="shared" si="113"/>
        <v>0.09</v>
      </c>
      <c r="H196" s="60">
        <f t="shared" si="113"/>
        <v>0.09</v>
      </c>
      <c r="I196" s="60">
        <f t="shared" si="113"/>
        <v>0.09</v>
      </c>
      <c r="J196" s="60">
        <f t="shared" si="113"/>
        <v>0.09</v>
      </c>
      <c r="K196" s="60">
        <f t="shared" si="113"/>
        <v>0.09</v>
      </c>
      <c r="L196" s="60">
        <f t="shared" si="113"/>
        <v>0.09</v>
      </c>
      <c r="M196" s="60">
        <f t="shared" si="113"/>
        <v>0.09</v>
      </c>
      <c r="N196" s="60">
        <f t="shared" si="113"/>
        <v>0.09</v>
      </c>
      <c r="O196" s="60">
        <f t="shared" si="113"/>
        <v>0.09</v>
      </c>
      <c r="P196" s="60">
        <f t="shared" si="113"/>
        <v>0.09</v>
      </c>
      <c r="Q196" s="60">
        <f t="shared" si="113"/>
        <v>0.09</v>
      </c>
      <c r="R196" s="66"/>
      <c r="S196" s="66"/>
      <c r="T196" s="66"/>
      <c r="U196" s="66"/>
      <c r="V196" s="66"/>
      <c r="W196" s="66"/>
    </row>
    <row r="197" spans="1:17" ht="12" customHeight="1" hidden="1">
      <c r="A197" s="20"/>
      <c r="C197" s="26" t="s">
        <v>143</v>
      </c>
      <c r="D197" s="14">
        <v>1</v>
      </c>
      <c r="E197" s="14">
        <f>1/(1+D196)</f>
        <v>0.9174311926605504</v>
      </c>
      <c r="F197" s="55">
        <f aca="true" t="shared" si="114" ref="F197:Q197">E197/(1+E196)</f>
        <v>0.84167999326656</v>
      </c>
      <c r="G197" s="117">
        <f t="shared" si="114"/>
        <v>0.7721834800610641</v>
      </c>
      <c r="H197" s="55">
        <f t="shared" si="114"/>
        <v>0.7084252110651964</v>
      </c>
      <c r="I197" s="55">
        <f t="shared" si="114"/>
        <v>0.6499313862983452</v>
      </c>
      <c r="J197" s="55">
        <f t="shared" si="114"/>
        <v>0.5962673268792158</v>
      </c>
      <c r="K197" s="55">
        <f t="shared" si="114"/>
        <v>0.5470342448433172</v>
      </c>
      <c r="L197" s="55">
        <f t="shared" si="114"/>
        <v>0.501866279672768</v>
      </c>
      <c r="M197" s="117">
        <f t="shared" si="114"/>
        <v>0.4604277795163009</v>
      </c>
      <c r="N197" s="55">
        <f t="shared" si="114"/>
        <v>0.42241080689568883</v>
      </c>
      <c r="O197" s="55">
        <f t="shared" si="114"/>
        <v>0.38753285036301727</v>
      </c>
      <c r="P197" s="55">
        <f t="shared" si="114"/>
        <v>0.35553472510368556</v>
      </c>
      <c r="Q197" s="55">
        <f t="shared" si="114"/>
        <v>0.3261786468841152</v>
      </c>
    </row>
    <row r="198" spans="1:17" ht="12" customHeight="1" hidden="1">
      <c r="A198" s="20"/>
      <c r="B198" s="51"/>
      <c r="C198" s="51" t="s">
        <v>81</v>
      </c>
      <c r="D198" s="51"/>
      <c r="E198" s="28">
        <f aca="true" t="shared" si="115" ref="E198:P198">E193</f>
        <v>46.99999999999999</v>
      </c>
      <c r="F198" s="28">
        <f t="shared" si="115"/>
        <v>-123.00000000000003</v>
      </c>
      <c r="G198" s="122">
        <f t="shared" si="115"/>
        <v>72.89999999999998</v>
      </c>
      <c r="H198" s="28">
        <f t="shared" si="115"/>
        <v>104.92999999999999</v>
      </c>
      <c r="I198" s="28">
        <f t="shared" si="115"/>
        <v>108.08489999999964</v>
      </c>
      <c r="J198" s="28">
        <f t="shared" si="115"/>
        <v>111.0726936666665</v>
      </c>
      <c r="K198" s="28">
        <f t="shared" si="115"/>
        <v>114.40487447666632</v>
      </c>
      <c r="L198" s="28">
        <f t="shared" si="115"/>
        <v>117.83702071096701</v>
      </c>
      <c r="M198" s="28">
        <f t="shared" si="115"/>
        <v>121.37213133229508</v>
      </c>
      <c r="N198" s="28">
        <f t="shared" si="115"/>
        <v>125.01329527226433</v>
      </c>
      <c r="O198" s="28">
        <f t="shared" si="115"/>
        <v>128.76369413043238</v>
      </c>
      <c r="P198" s="28">
        <f t="shared" si="115"/>
        <v>132.62660495434636</v>
      </c>
      <c r="Q198" s="1">
        <f>P198*(1+O$8)+P198*(1+O$8)*(1+O$8)/(P196-O$8)</f>
        <v>2481.664823037411</v>
      </c>
    </row>
    <row r="199" spans="1:17" ht="12" customHeight="1" hidden="1">
      <c r="A199" s="20"/>
      <c r="C199" s="26" t="s">
        <v>144</v>
      </c>
      <c r="D199" s="1"/>
      <c r="E199" s="1">
        <f aca="true" t="shared" si="116" ref="E199:Q199">E198*E197</f>
        <v>43.11926605504586</v>
      </c>
      <c r="F199" s="1">
        <f t="shared" si="116"/>
        <v>-103.5266391717869</v>
      </c>
      <c r="G199" s="36">
        <f t="shared" si="116"/>
        <v>56.29217569645155</v>
      </c>
      <c r="H199" s="1">
        <f t="shared" si="116"/>
        <v>74.33505739707105</v>
      </c>
      <c r="I199" s="1">
        <f t="shared" si="116"/>
        <v>70.24776889491778</v>
      </c>
      <c r="J199" s="1">
        <f t="shared" si="116"/>
        <v>66.22901814189723</v>
      </c>
      <c r="K199" s="1">
        <f t="shared" si="116"/>
        <v>62.58338411573766</v>
      </c>
      <c r="L199" s="1">
        <f t="shared" si="116"/>
        <v>59.138427191935925</v>
      </c>
      <c r="M199" s="36">
        <f t="shared" si="116"/>
        <v>55.883100924489476</v>
      </c>
      <c r="N199" s="1">
        <f t="shared" si="116"/>
        <v>52.806966928646176</v>
      </c>
      <c r="O199" s="1">
        <f t="shared" si="116"/>
        <v>49.90016140963818</v>
      </c>
      <c r="P199" s="1">
        <f t="shared" si="116"/>
        <v>47.15336353387863</v>
      </c>
      <c r="Q199" s="1">
        <f t="shared" si="116"/>
        <v>809.46607399825</v>
      </c>
    </row>
    <row r="200" spans="1:17" ht="12" customHeight="1">
      <c r="A200" s="20">
        <v>49</v>
      </c>
      <c r="C200" s="56" t="s">
        <v>166</v>
      </c>
      <c r="D200" s="46">
        <f>SUM(E199:$Q199)/D197</f>
        <v>1343.6281251161727</v>
      </c>
      <c r="E200" s="46">
        <f>SUM(F199:$Q199)/E197</f>
        <v>1417.5546563766281</v>
      </c>
      <c r="F200" s="46">
        <f>SUM(G199:$Q199)/F197</f>
        <v>1668.1345754505248</v>
      </c>
      <c r="G200" s="33">
        <f>SUM(H199:$Q199)/G197</f>
        <v>1745.3666872410724</v>
      </c>
      <c r="H200" s="46">
        <f>SUM(I199:$Q199)/H197</f>
        <v>1797.5196890927689</v>
      </c>
      <c r="I200" s="46">
        <f>SUM(J199:$Q199)/I197</f>
        <v>1851.2115611111187</v>
      </c>
      <c r="J200" s="46">
        <f>SUM(K199:$Q199)/J197</f>
        <v>1906.747907944453</v>
      </c>
      <c r="K200" s="46">
        <f>SUM(L199:$Q199)/K197</f>
        <v>1963.9503451827873</v>
      </c>
      <c r="L200" s="46">
        <f>SUM(M199:$Q199)/L197</f>
        <v>2022.8688555382719</v>
      </c>
      <c r="M200" s="33">
        <f>SUM(N199:$Q199)/M197</f>
        <v>2083.554921204421</v>
      </c>
      <c r="N200" s="46">
        <f>SUM(O199:$Q199)/N197</f>
        <v>2146.061568840555</v>
      </c>
      <c r="O200" s="46">
        <f>SUM(P199:$Q199)/O197</f>
        <v>2210.443415905773</v>
      </c>
      <c r="P200" s="46">
        <f>SUM(Q199:$Q199)/P197</f>
        <v>2276.756718382946</v>
      </c>
      <c r="Q200" s="46"/>
    </row>
    <row r="201" spans="1:16" ht="12.75" customHeight="1">
      <c r="A201" s="20"/>
      <c r="D201" s="50"/>
      <c r="E201" s="50"/>
      <c r="F201" s="50"/>
      <c r="G201" s="199"/>
      <c r="H201" s="50"/>
      <c r="I201" s="50"/>
      <c r="J201" s="50"/>
      <c r="K201" s="50"/>
      <c r="L201" s="50"/>
      <c r="M201" s="38"/>
      <c r="N201" s="50"/>
      <c r="O201" s="50"/>
      <c r="P201" s="50"/>
    </row>
    <row r="202" spans="1:23" s="7" customFormat="1" ht="12" customHeight="1">
      <c r="A202" s="20"/>
      <c r="C202" s="7" t="s">
        <v>1</v>
      </c>
      <c r="D202" s="60">
        <f aca="true" t="shared" si="117" ref="D202:Q202">D$133</f>
        <v>0.09</v>
      </c>
      <c r="E202" s="60">
        <f t="shared" si="117"/>
        <v>0.09</v>
      </c>
      <c r="F202" s="60">
        <f t="shared" si="117"/>
        <v>0.09</v>
      </c>
      <c r="G202" s="60">
        <f t="shared" si="117"/>
        <v>0.09</v>
      </c>
      <c r="H202" s="60">
        <f t="shared" si="117"/>
        <v>0.09</v>
      </c>
      <c r="I202" s="60">
        <f t="shared" si="117"/>
        <v>0.09</v>
      </c>
      <c r="J202" s="60">
        <f t="shared" si="117"/>
        <v>0.09</v>
      </c>
      <c r="K202" s="60">
        <f t="shared" si="117"/>
        <v>0.09</v>
      </c>
      <c r="L202" s="60">
        <f t="shared" si="117"/>
        <v>0.09</v>
      </c>
      <c r="M202" s="60">
        <f t="shared" si="117"/>
        <v>0.09</v>
      </c>
      <c r="N202" s="60">
        <f t="shared" si="117"/>
        <v>0.09</v>
      </c>
      <c r="O202" s="60">
        <f t="shared" si="117"/>
        <v>0.09</v>
      </c>
      <c r="P202" s="60">
        <f t="shared" si="117"/>
        <v>0.09</v>
      </c>
      <c r="Q202" s="60">
        <f t="shared" si="117"/>
        <v>0.09</v>
      </c>
      <c r="R202" s="66"/>
      <c r="S202" s="66"/>
      <c r="T202" s="66"/>
      <c r="U202" s="66"/>
      <c r="V202" s="66"/>
      <c r="W202" s="66"/>
    </row>
    <row r="203" spans="1:17" ht="10.5" customHeight="1" hidden="1">
      <c r="A203" s="20"/>
      <c r="C203" s="26" t="s">
        <v>147</v>
      </c>
      <c r="D203" s="14">
        <v>1</v>
      </c>
      <c r="E203" s="14">
        <f>1/(1+D202)</f>
        <v>0.9174311926605504</v>
      </c>
      <c r="F203" s="14">
        <f aca="true" t="shared" si="118" ref="F203:Q203">E203/(1+E202)</f>
        <v>0.84167999326656</v>
      </c>
      <c r="G203" s="119">
        <f t="shared" si="118"/>
        <v>0.7721834800610641</v>
      </c>
      <c r="H203" s="14">
        <f t="shared" si="118"/>
        <v>0.7084252110651964</v>
      </c>
      <c r="I203" s="14">
        <f t="shared" si="118"/>
        <v>0.6499313862983452</v>
      </c>
      <c r="J203" s="14">
        <f t="shared" si="118"/>
        <v>0.5962673268792158</v>
      </c>
      <c r="K203" s="14">
        <f t="shared" si="118"/>
        <v>0.5470342448433172</v>
      </c>
      <c r="L203" s="14">
        <f t="shared" si="118"/>
        <v>0.501866279672768</v>
      </c>
      <c r="M203" s="119">
        <f t="shared" si="118"/>
        <v>0.4604277795163009</v>
      </c>
      <c r="N203" s="14">
        <f t="shared" si="118"/>
        <v>0.42241080689568883</v>
      </c>
      <c r="O203" s="14">
        <f t="shared" si="118"/>
        <v>0.38753285036301727</v>
      </c>
      <c r="P203" s="14">
        <f t="shared" si="118"/>
        <v>0.35553472510368556</v>
      </c>
      <c r="Q203" s="14">
        <f t="shared" si="118"/>
        <v>0.3261786468841152</v>
      </c>
    </row>
    <row r="204" spans="1:17" ht="10.5" customHeight="1" hidden="1">
      <c r="A204" s="54"/>
      <c r="B204" s="51"/>
      <c r="C204" s="51" t="s">
        <v>82</v>
      </c>
      <c r="D204" s="51"/>
      <c r="E204" s="51">
        <f aca="true" t="shared" si="119" ref="E204:P204">E194</f>
        <v>137.00000000000003</v>
      </c>
      <c r="F204" s="51">
        <f t="shared" si="119"/>
        <v>-133.00000000000003</v>
      </c>
      <c r="G204" s="120">
        <f t="shared" si="119"/>
        <v>171.89999999999998</v>
      </c>
      <c r="H204" s="51">
        <f t="shared" si="119"/>
        <v>170.93000000000004</v>
      </c>
      <c r="I204" s="51">
        <f t="shared" si="119"/>
        <v>176.06489999999965</v>
      </c>
      <c r="J204" s="51">
        <f t="shared" si="119"/>
        <v>181.09209366666644</v>
      </c>
      <c r="K204" s="51">
        <f t="shared" si="119"/>
        <v>186.52485647666632</v>
      </c>
      <c r="L204" s="51">
        <f t="shared" si="119"/>
        <v>192.12060217096695</v>
      </c>
      <c r="M204" s="120">
        <f t="shared" si="119"/>
        <v>197.88422023609502</v>
      </c>
      <c r="N204" s="51">
        <f t="shared" si="119"/>
        <v>203.82074684317837</v>
      </c>
      <c r="O204" s="51">
        <f t="shared" si="119"/>
        <v>209.93536924847388</v>
      </c>
      <c r="P204" s="51">
        <f t="shared" si="119"/>
        <v>216.23343032592916</v>
      </c>
      <c r="Q204" s="1">
        <f>P204*(1+O$8)+P204*(1+O$8)*(1+O$8)/(P202-O$8)</f>
        <v>4046.087870448678</v>
      </c>
    </row>
    <row r="205" spans="1:17" ht="10.5" customHeight="1" hidden="1" thickBot="1">
      <c r="A205" s="20"/>
      <c r="C205" s="26" t="s">
        <v>127</v>
      </c>
      <c r="D205" s="1"/>
      <c r="E205" s="1">
        <f aca="true" t="shared" si="120" ref="E205:Q205">E204*E203</f>
        <v>125.68807339449543</v>
      </c>
      <c r="F205" s="1">
        <f t="shared" si="120"/>
        <v>-111.9434391044525</v>
      </c>
      <c r="G205" s="36">
        <f t="shared" si="120"/>
        <v>132.7383402224969</v>
      </c>
      <c r="H205" s="1">
        <f t="shared" si="120"/>
        <v>121.09112132737404</v>
      </c>
      <c r="I205" s="1">
        <f t="shared" si="120"/>
        <v>114.4301045354793</v>
      </c>
      <c r="J205" s="1">
        <f t="shared" si="120"/>
        <v>107.97929860958376</v>
      </c>
      <c r="K205" s="1">
        <f t="shared" si="120"/>
        <v>102.03548400722129</v>
      </c>
      <c r="L205" s="1">
        <f t="shared" si="120"/>
        <v>96.41885186003509</v>
      </c>
      <c r="M205" s="36">
        <f t="shared" si="120"/>
        <v>91.11139212461988</v>
      </c>
      <c r="N205" s="1">
        <f t="shared" si="120"/>
        <v>86.0960861361089</v>
      </c>
      <c r="O205" s="1">
        <f t="shared" si="120"/>
        <v>81.3568520368736</v>
      </c>
      <c r="P205" s="1">
        <f t="shared" si="120"/>
        <v>76.87849320915618</v>
      </c>
      <c r="Q205" s="1">
        <f t="shared" si="120"/>
        <v>1319.747466757181</v>
      </c>
    </row>
    <row r="206" spans="1:17" ht="10.5" customHeight="1">
      <c r="A206" s="20">
        <v>52</v>
      </c>
      <c r="B206" s="4" t="s">
        <v>167</v>
      </c>
      <c r="C206" s="51" t="s">
        <v>168</v>
      </c>
      <c r="D206" s="22">
        <f>SUM(E205:$Q205)/D203</f>
        <v>2343.6281251161727</v>
      </c>
      <c r="E206" s="22">
        <f>SUM(F205:$Q205)/E203</f>
        <v>2417.5546563766284</v>
      </c>
      <c r="F206" s="22">
        <f>SUM(G205:$Q205)/F203</f>
        <v>2768.1345754505255</v>
      </c>
      <c r="G206" s="111">
        <f>SUM(H205:$Q205)/G203</f>
        <v>2845.3666872410727</v>
      </c>
      <c r="H206" s="22">
        <f>SUM(I205:$Q205)/H203</f>
        <v>2930.5196890927696</v>
      </c>
      <c r="I206" s="22">
        <f>SUM(J205:$Q205)/I203</f>
        <v>3018.2015611111196</v>
      </c>
      <c r="J206" s="22">
        <f>SUM(K205:$Q205)/J203</f>
        <v>3108.7476079444536</v>
      </c>
      <c r="K206" s="22">
        <f>SUM(L205:$Q205)/K203</f>
        <v>3202.0100361827886</v>
      </c>
      <c r="L206" s="22">
        <f>SUM(M205:$Q205)/L203</f>
        <v>3298.0703372682733</v>
      </c>
      <c r="M206" s="111">
        <f>SUM(N205:$Q205)/M203</f>
        <v>3397.012447386323</v>
      </c>
      <c r="N206" s="22">
        <f>SUM(O205:$Q205)/N203</f>
        <v>3498.9228208079144</v>
      </c>
      <c r="O206" s="22">
        <f>SUM(P205:$Q205)/O203</f>
        <v>3603.890505432153</v>
      </c>
      <c r="P206" s="22">
        <f>SUM(Q205:$Q205)/P203</f>
        <v>3712.0072205951174</v>
      </c>
      <c r="Q206" s="22"/>
    </row>
    <row r="207" spans="1:17" ht="12.75" customHeight="1">
      <c r="A207" s="20">
        <v>53</v>
      </c>
      <c r="B207" s="4" t="s">
        <v>138</v>
      </c>
      <c r="C207" s="47" t="s">
        <v>169</v>
      </c>
      <c r="D207" s="61">
        <f>D206-D$144</f>
        <v>1343.628125116172</v>
      </c>
      <c r="E207" s="61">
        <f aca="true" t="shared" si="121" ref="E207:P207">E206-E$144</f>
        <v>1417.5546563766275</v>
      </c>
      <c r="F207" s="61">
        <f t="shared" si="121"/>
        <v>1668.1345754505246</v>
      </c>
      <c r="G207" s="61">
        <f t="shared" si="121"/>
        <v>1745.3666872410715</v>
      </c>
      <c r="H207" s="61">
        <f t="shared" si="121"/>
        <v>1797.5196890927684</v>
      </c>
      <c r="I207" s="61">
        <f t="shared" si="121"/>
        <v>1851.2115611111183</v>
      </c>
      <c r="J207" s="61">
        <f t="shared" si="121"/>
        <v>1906.747907944452</v>
      </c>
      <c r="K207" s="61">
        <f t="shared" si="121"/>
        <v>1963.9503451827868</v>
      </c>
      <c r="L207" s="61">
        <f t="shared" si="121"/>
        <v>2022.8688555382714</v>
      </c>
      <c r="M207" s="61">
        <f t="shared" si="121"/>
        <v>2083.5549212044207</v>
      </c>
      <c r="N207" s="61">
        <f t="shared" si="121"/>
        <v>2146.061568840555</v>
      </c>
      <c r="O207" s="61">
        <f t="shared" si="121"/>
        <v>2210.443415905773</v>
      </c>
      <c r="P207" s="61">
        <f t="shared" si="121"/>
        <v>2276.756718382945</v>
      </c>
      <c r="Q207" s="24"/>
    </row>
    <row r="208" spans="1:23" s="6" customFormat="1" ht="12.75" customHeight="1">
      <c r="A208" s="207"/>
      <c r="C208" s="208" t="s">
        <v>25</v>
      </c>
      <c r="D208" s="209"/>
      <c r="E208" s="209">
        <f>E180-E214</f>
        <v>-18.74800082594632</v>
      </c>
      <c r="F208" s="209">
        <f aca="true" t="shared" si="122" ref="F208:O208">F180-F214</f>
        <v>284.3834394918316</v>
      </c>
      <c r="G208" s="209">
        <f t="shared" si="122"/>
        <v>-12.407754611564911</v>
      </c>
      <c r="H208" s="209">
        <f t="shared" si="122"/>
        <v>-10.799557482104433</v>
      </c>
      <c r="I208" s="209">
        <f t="shared" si="122"/>
        <v>-13.509636023867046</v>
      </c>
      <c r="J208" s="209">
        <f t="shared" si="122"/>
        <v>-16.300875409384275</v>
      </c>
      <c r="K208" s="209">
        <f t="shared" si="122"/>
        <v>-19.176714536591987</v>
      </c>
      <c r="L208" s="209">
        <f t="shared" si="122"/>
        <v>-22.13882883761596</v>
      </c>
      <c r="M208" s="209">
        <f t="shared" si="122"/>
        <v>-25.18980656767036</v>
      </c>
      <c r="N208" s="209">
        <f t="shared" si="122"/>
        <v>-28.332313629626498</v>
      </c>
      <c r="O208" s="209">
        <f t="shared" si="122"/>
        <v>-31.569095903441337</v>
      </c>
      <c r="P208" s="209"/>
      <c r="Q208" s="210"/>
      <c r="R208" s="103"/>
      <c r="S208" s="103"/>
      <c r="T208" s="103"/>
      <c r="U208" s="103"/>
      <c r="V208" s="103"/>
      <c r="W208" s="103"/>
    </row>
    <row r="209" spans="1:23" s="6" customFormat="1" ht="12.75" customHeight="1">
      <c r="A209" s="207"/>
      <c r="C209" s="208" t="s">
        <v>26</v>
      </c>
      <c r="D209" s="209"/>
      <c r="E209" s="211">
        <f>D16/E34</f>
        <v>8</v>
      </c>
      <c r="F209" s="211">
        <f>E16/F34</f>
        <v>6.4</v>
      </c>
      <c r="G209" s="211">
        <f>F16/G34</f>
        <v>6.851851851851852</v>
      </c>
      <c r="H209" s="211">
        <f>G16/H34</f>
        <v>6.760158216468896</v>
      </c>
      <c r="I209" s="211">
        <f>H16/I34</f>
        <v>6.760158216468896</v>
      </c>
      <c r="J209" s="211">
        <f aca="true" t="shared" si="123" ref="J209:O209">I209</f>
        <v>6.760158216468896</v>
      </c>
      <c r="K209" s="211">
        <f t="shared" si="123"/>
        <v>6.760158216468896</v>
      </c>
      <c r="L209" s="211">
        <f t="shared" si="123"/>
        <v>6.760158216468896</v>
      </c>
      <c r="M209" s="211">
        <f t="shared" si="123"/>
        <v>6.760158216468896</v>
      </c>
      <c r="N209" s="211">
        <f t="shared" si="123"/>
        <v>6.760158216468896</v>
      </c>
      <c r="O209" s="211">
        <f t="shared" si="123"/>
        <v>6.760158216468896</v>
      </c>
      <c r="P209" s="209"/>
      <c r="Q209" s="210"/>
      <c r="R209" s="103"/>
      <c r="S209" s="103"/>
      <c r="T209" s="103"/>
      <c r="U209" s="103"/>
      <c r="V209" s="103"/>
      <c r="W209" s="103"/>
    </row>
    <row r="210" spans="1:23" s="6" customFormat="1" ht="12.75" customHeight="1">
      <c r="A210" s="207"/>
      <c r="C210" s="208" t="s">
        <v>27</v>
      </c>
      <c r="D210" s="209">
        <f>D14</f>
        <v>1600</v>
      </c>
      <c r="E210" s="209">
        <f>E14-E212</f>
        <v>1648.7480008259463</v>
      </c>
      <c r="F210" s="209">
        <f aca="true" t="shared" si="124" ref="F210:O210">F14-F212</f>
        <v>1946.999610636046</v>
      </c>
      <c r="G210" s="209">
        <f t="shared" si="124"/>
        <v>2033.400615741933</v>
      </c>
      <c r="H210" s="209">
        <f t="shared" si="124"/>
        <v>2147.2447204748187</v>
      </c>
      <c r="I210" s="209">
        <f t="shared" si="124"/>
        <v>2264.5036548691137</v>
      </c>
      <c r="J210" s="209">
        <f t="shared" si="124"/>
        <v>2385.279802710297</v>
      </c>
      <c r="K210" s="209">
        <f t="shared" si="124"/>
        <v>2509.6792349867164</v>
      </c>
      <c r="L210" s="209">
        <f t="shared" si="124"/>
        <v>2637.8106502314276</v>
      </c>
      <c r="M210" s="209">
        <f t="shared" si="124"/>
        <v>2769.7860079334814</v>
      </c>
      <c r="N210" s="209">
        <f t="shared" si="124"/>
        <v>2905.7206263665958</v>
      </c>
      <c r="O210" s="209">
        <f t="shared" si="124"/>
        <v>3045.733283352704</v>
      </c>
      <c r="P210" s="209"/>
      <c r="Q210" s="210"/>
      <c r="R210" s="103"/>
      <c r="S210" s="103"/>
      <c r="T210" s="103"/>
      <c r="U210" s="103"/>
      <c r="V210" s="103"/>
      <c r="W210" s="103"/>
    </row>
    <row r="211" spans="1:17" ht="12.75" customHeight="1">
      <c r="A211" s="20" t="s">
        <v>170</v>
      </c>
      <c r="C211" s="82" t="s">
        <v>28</v>
      </c>
      <c r="D211" s="67"/>
      <c r="E211" s="67">
        <f aca="true" t="shared" si="125" ref="E211:O211">D16*D164/(((1+D164)^(E209))-1)</f>
        <v>151.25199917405368</v>
      </c>
      <c r="F211" s="67">
        <f t="shared" si="125"/>
        <v>201.74839018990025</v>
      </c>
      <c r="G211" s="67">
        <f t="shared" si="125"/>
        <v>213.59899489411296</v>
      </c>
      <c r="H211" s="67">
        <f t="shared" si="125"/>
        <v>220.65589526711452</v>
      </c>
      <c r="I211" s="67">
        <f t="shared" si="125"/>
        <v>227.2760656057053</v>
      </c>
      <c r="J211" s="67">
        <f t="shared" si="125"/>
        <v>234.0949021588165</v>
      </c>
      <c r="K211" s="67">
        <f t="shared" si="125"/>
        <v>241.117749223581</v>
      </c>
      <c r="L211" s="67">
        <f t="shared" si="125"/>
        <v>248.35128170028847</v>
      </c>
      <c r="M211" s="67">
        <f t="shared" si="125"/>
        <v>255.80182015129708</v>
      </c>
      <c r="N211" s="67">
        <f t="shared" si="125"/>
        <v>263.475874755836</v>
      </c>
      <c r="O211" s="67">
        <f t="shared" si="125"/>
        <v>271.38015099851117</v>
      </c>
      <c r="P211" s="67"/>
      <c r="Q211" s="105"/>
    </row>
    <row r="212" spans="1:17" ht="12.75" customHeight="1">
      <c r="A212" s="20"/>
      <c r="C212" s="82" t="s">
        <v>29</v>
      </c>
      <c r="D212" s="67"/>
      <c r="E212" s="67">
        <f>E211</f>
        <v>151.25199917405368</v>
      </c>
      <c r="F212" s="67">
        <f aca="true" t="shared" si="126" ref="F212:O212">F211+E212</f>
        <v>353.0003893639539</v>
      </c>
      <c r="G212" s="67">
        <f t="shared" si="126"/>
        <v>566.5993842580668</v>
      </c>
      <c r="H212" s="67">
        <f t="shared" si="126"/>
        <v>787.2552795251813</v>
      </c>
      <c r="I212" s="67">
        <f t="shared" si="126"/>
        <v>1014.5313451308866</v>
      </c>
      <c r="J212" s="67">
        <f t="shared" si="126"/>
        <v>1248.626247289703</v>
      </c>
      <c r="K212" s="67">
        <f t="shared" si="126"/>
        <v>1489.7439965132842</v>
      </c>
      <c r="L212" s="67">
        <f t="shared" si="126"/>
        <v>1738.0952782135726</v>
      </c>
      <c r="M212" s="67">
        <f t="shared" si="126"/>
        <v>1993.8970983648696</v>
      </c>
      <c r="N212" s="67">
        <f t="shared" si="126"/>
        <v>2257.372973120706</v>
      </c>
      <c r="O212" s="67">
        <f t="shared" si="126"/>
        <v>2528.753124119217</v>
      </c>
      <c r="P212" s="67"/>
      <c r="Q212" s="105"/>
    </row>
    <row r="213" spans="1:17" ht="12.75" customHeight="1">
      <c r="A213" s="20"/>
      <c r="C213" s="82" t="s">
        <v>171</v>
      </c>
      <c r="D213" s="67"/>
      <c r="E213" s="67">
        <f>D22+D23</f>
        <v>2000</v>
      </c>
      <c r="F213" s="67">
        <f aca="true" t="shared" si="127" ref="F213:O213">E213+(E22-D22)</f>
        <v>2000</v>
      </c>
      <c r="G213" s="67">
        <f t="shared" si="127"/>
        <v>2100</v>
      </c>
      <c r="H213" s="67">
        <f t="shared" si="127"/>
        <v>2100</v>
      </c>
      <c r="I213" s="67">
        <f t="shared" si="127"/>
        <v>2133</v>
      </c>
      <c r="J213" s="67">
        <f t="shared" si="127"/>
        <v>2166.99</v>
      </c>
      <c r="K213" s="67">
        <f t="shared" si="127"/>
        <v>2201.9997</v>
      </c>
      <c r="L213" s="67">
        <f t="shared" si="127"/>
        <v>2238.059691</v>
      </c>
      <c r="M213" s="67">
        <f t="shared" si="127"/>
        <v>2275.20148173</v>
      </c>
      <c r="N213" s="67">
        <f t="shared" si="127"/>
        <v>2313.4575261819</v>
      </c>
      <c r="O213" s="67">
        <f t="shared" si="127"/>
        <v>2352.861251967357</v>
      </c>
      <c r="P213" s="67"/>
      <c r="Q213" s="105"/>
    </row>
    <row r="214" spans="1:256" s="51" customFormat="1" ht="12" customHeight="1">
      <c r="A214" s="54" t="s">
        <v>170</v>
      </c>
      <c r="C214" s="47" t="s">
        <v>172</v>
      </c>
      <c r="D214" s="22"/>
      <c r="E214" s="22">
        <f aca="true" t="shared" si="128" ref="E214:O214">E35*(1-$F$1)-(E213*D164)+E34-E211+E51-(E16-D16)</f>
        <v>1.7891989671075805</v>
      </c>
      <c r="F214" s="22">
        <f t="shared" si="128"/>
        <v>-269.41177006114015</v>
      </c>
      <c r="G214" s="22">
        <f t="shared" si="128"/>
        <v>32.1324241174967</v>
      </c>
      <c r="H214" s="22">
        <f t="shared" si="128"/>
        <v>31.593950874218848</v>
      </c>
      <c r="I214" s="22">
        <f t="shared" si="128"/>
        <v>34.936715508439306</v>
      </c>
      <c r="J214" s="22">
        <f t="shared" si="128"/>
        <v>38.11809783564385</v>
      </c>
      <c r="K214" s="22">
        <f t="shared" si="128"/>
        <v>41.648453635639356</v>
      </c>
      <c r="L214" s="22">
        <f t="shared" si="128"/>
        <v>45.28472010963466</v>
      </c>
      <c r="M214" s="22">
        <f t="shared" si="128"/>
        <v>49.030074577849746</v>
      </c>
      <c r="N214" s="22">
        <f t="shared" si="128"/>
        <v>52.887789680111155</v>
      </c>
      <c r="O214" s="22">
        <f t="shared" si="128"/>
        <v>56.86123623544057</v>
      </c>
      <c r="P214" s="22">
        <f>O214*(1+$O$8)</f>
        <v>58.56707332250379</v>
      </c>
      <c r="Q214" s="22">
        <f>P214*(1+$O$8)</f>
        <v>60.324085522178905</v>
      </c>
      <c r="R214" s="22">
        <f aca="true" t="shared" si="129" ref="R214:CC214">Q214*(1+$O$8)</f>
        <v>62.13380808784427</v>
      </c>
      <c r="S214" s="22">
        <f t="shared" si="129"/>
        <v>63.9978223304796</v>
      </c>
      <c r="T214" s="22">
        <f t="shared" si="129"/>
        <v>65.91775700039399</v>
      </c>
      <c r="U214" s="22">
        <f t="shared" si="129"/>
        <v>67.8952897104058</v>
      </c>
      <c r="V214" s="22">
        <f t="shared" si="129"/>
        <v>69.93214840171798</v>
      </c>
      <c r="W214" s="22">
        <f t="shared" si="129"/>
        <v>72.03011285376952</v>
      </c>
      <c r="X214" s="22">
        <f t="shared" si="129"/>
        <v>74.1910162393826</v>
      </c>
      <c r="Y214" s="22">
        <f t="shared" si="129"/>
        <v>76.41674672656409</v>
      </c>
      <c r="Z214" s="22">
        <f t="shared" si="129"/>
        <v>78.70924912836101</v>
      </c>
      <c r="AA214" s="22">
        <f t="shared" si="129"/>
        <v>81.07052660221184</v>
      </c>
      <c r="AB214" s="22">
        <f t="shared" si="129"/>
        <v>83.5026424002782</v>
      </c>
      <c r="AC214" s="22">
        <f t="shared" si="129"/>
        <v>86.00772167228655</v>
      </c>
      <c r="AD214" s="22">
        <f t="shared" si="129"/>
        <v>88.58795332245515</v>
      </c>
      <c r="AE214" s="22">
        <f t="shared" si="129"/>
        <v>91.24559192212881</v>
      </c>
      <c r="AF214" s="22">
        <f t="shared" si="129"/>
        <v>93.98295967979267</v>
      </c>
      <c r="AG214" s="22">
        <f t="shared" si="129"/>
        <v>96.80244847018645</v>
      </c>
      <c r="AH214" s="22">
        <f t="shared" si="129"/>
        <v>99.70652192429205</v>
      </c>
      <c r="AI214" s="22">
        <f t="shared" si="129"/>
        <v>102.69771758202081</v>
      </c>
      <c r="AJ214" s="22">
        <f t="shared" si="129"/>
        <v>105.77864910948144</v>
      </c>
      <c r="AK214" s="22">
        <f t="shared" si="129"/>
        <v>108.95200858276588</v>
      </c>
      <c r="AL214" s="22">
        <f t="shared" si="129"/>
        <v>112.22056884024886</v>
      </c>
      <c r="AM214" s="22">
        <f t="shared" si="129"/>
        <v>115.58718590545632</v>
      </c>
      <c r="AN214" s="22">
        <f t="shared" si="129"/>
        <v>119.05480148262002</v>
      </c>
      <c r="AO214" s="22">
        <f t="shared" si="129"/>
        <v>122.62644552709862</v>
      </c>
      <c r="AP214" s="22">
        <f t="shared" si="129"/>
        <v>126.30523889291159</v>
      </c>
      <c r="AQ214" s="22">
        <f t="shared" si="129"/>
        <v>130.09439605969894</v>
      </c>
      <c r="AR214" s="22">
        <f t="shared" si="129"/>
        <v>133.9972279414899</v>
      </c>
      <c r="AS214" s="22">
        <f t="shared" si="129"/>
        <v>138.01714477973462</v>
      </c>
      <c r="AT214" s="22">
        <f t="shared" si="129"/>
        <v>142.15765912312668</v>
      </c>
      <c r="AU214" s="22">
        <f t="shared" si="129"/>
        <v>146.42238889682048</v>
      </c>
      <c r="AV214" s="22">
        <f t="shared" si="129"/>
        <v>150.8150605637251</v>
      </c>
      <c r="AW214" s="22">
        <f t="shared" si="129"/>
        <v>155.33951238063685</v>
      </c>
      <c r="AX214" s="22">
        <f t="shared" si="129"/>
        <v>159.99969775205597</v>
      </c>
      <c r="AY214" s="22">
        <f t="shared" si="129"/>
        <v>164.79968868461765</v>
      </c>
      <c r="AZ214" s="22">
        <f t="shared" si="129"/>
        <v>169.74367934515618</v>
      </c>
      <c r="BA214" s="22">
        <f t="shared" si="129"/>
        <v>174.83598972551087</v>
      </c>
      <c r="BB214" s="22">
        <f t="shared" si="129"/>
        <v>180.0810694172762</v>
      </c>
      <c r="BC214" s="22">
        <f t="shared" si="129"/>
        <v>185.4835014997945</v>
      </c>
      <c r="BD214" s="22">
        <f t="shared" si="129"/>
        <v>191.04800654478834</v>
      </c>
      <c r="BE214" s="22">
        <f t="shared" si="129"/>
        <v>196.77944674113198</v>
      </c>
      <c r="BF214" s="22">
        <f t="shared" si="129"/>
        <v>202.68283014336595</v>
      </c>
      <c r="BG214" s="22">
        <f t="shared" si="129"/>
        <v>208.76331504766694</v>
      </c>
      <c r="BH214" s="22">
        <f t="shared" si="129"/>
        <v>215.02621449909694</v>
      </c>
      <c r="BI214" s="22">
        <f t="shared" si="129"/>
        <v>221.47700093406985</v>
      </c>
      <c r="BJ214" s="22">
        <f t="shared" si="129"/>
        <v>228.12131096209194</v>
      </c>
      <c r="BK214" s="22">
        <f t="shared" si="129"/>
        <v>234.9649502909547</v>
      </c>
      <c r="BL214" s="22">
        <f t="shared" si="129"/>
        <v>242.01389879968335</v>
      </c>
      <c r="BM214" s="22">
        <f t="shared" si="129"/>
        <v>249.27431576367385</v>
      </c>
      <c r="BN214" s="22">
        <f t="shared" si="129"/>
        <v>256.75254523658407</v>
      </c>
      <c r="BO214" s="22">
        <f t="shared" si="129"/>
        <v>264.4551215936816</v>
      </c>
      <c r="BP214" s="22">
        <f t="shared" si="129"/>
        <v>272.38877524149206</v>
      </c>
      <c r="BQ214" s="22">
        <f t="shared" si="129"/>
        <v>280.5604384987368</v>
      </c>
      <c r="BR214" s="22">
        <f t="shared" si="129"/>
        <v>288.9772516536989</v>
      </c>
      <c r="BS214" s="22">
        <f t="shared" si="129"/>
        <v>297.64656920330987</v>
      </c>
      <c r="BT214" s="22">
        <f t="shared" si="129"/>
        <v>306.57596627940916</v>
      </c>
      <c r="BU214" s="22">
        <f t="shared" si="129"/>
        <v>315.7732452677914</v>
      </c>
      <c r="BV214" s="22">
        <f t="shared" si="129"/>
        <v>325.2464426258252</v>
      </c>
      <c r="BW214" s="22">
        <f t="shared" si="129"/>
        <v>335.00383590459995</v>
      </c>
      <c r="BX214" s="22">
        <f t="shared" si="129"/>
        <v>345.05395098173796</v>
      </c>
      <c r="BY214" s="22">
        <f t="shared" si="129"/>
        <v>355.4055695111901</v>
      </c>
      <c r="BZ214" s="22">
        <f t="shared" si="129"/>
        <v>366.06773659652583</v>
      </c>
      <c r="CA214" s="22">
        <f t="shared" si="129"/>
        <v>377.04976869442163</v>
      </c>
      <c r="CB214" s="22">
        <f t="shared" si="129"/>
        <v>388.3612617552543</v>
      </c>
      <c r="CC214" s="22">
        <f t="shared" si="129"/>
        <v>400.0120996079119</v>
      </c>
      <c r="CD214" s="22">
        <f aca="true" t="shared" si="130" ref="CD214:EO214">CC214*(1+$O$8)</f>
        <v>412.0124625961493</v>
      </c>
      <c r="CE214" s="22">
        <f t="shared" si="130"/>
        <v>424.3728364740338</v>
      </c>
      <c r="CF214" s="22">
        <f t="shared" si="130"/>
        <v>437.10402156825484</v>
      </c>
      <c r="CG214" s="22">
        <f t="shared" si="130"/>
        <v>450.2171422153025</v>
      </c>
      <c r="CH214" s="22">
        <f t="shared" si="130"/>
        <v>463.72365648176157</v>
      </c>
      <c r="CI214" s="22">
        <f t="shared" si="130"/>
        <v>477.6353661762144</v>
      </c>
      <c r="CJ214" s="22">
        <f t="shared" si="130"/>
        <v>491.96442716150085</v>
      </c>
      <c r="CK214" s="22">
        <f t="shared" si="130"/>
        <v>506.7233599763459</v>
      </c>
      <c r="CL214" s="22">
        <f t="shared" si="130"/>
        <v>521.9250607756362</v>
      </c>
      <c r="CM214" s="22">
        <f t="shared" si="130"/>
        <v>537.5828125989053</v>
      </c>
      <c r="CN214" s="22">
        <f t="shared" si="130"/>
        <v>553.7102969768725</v>
      </c>
      <c r="CO214" s="22">
        <f t="shared" si="130"/>
        <v>570.3216058861788</v>
      </c>
      <c r="CP214" s="22">
        <f t="shared" si="130"/>
        <v>587.4312540627641</v>
      </c>
      <c r="CQ214" s="22">
        <f t="shared" si="130"/>
        <v>605.054191684647</v>
      </c>
      <c r="CR214" s="22">
        <f t="shared" si="130"/>
        <v>623.2058174351864</v>
      </c>
      <c r="CS214" s="22">
        <f t="shared" si="130"/>
        <v>641.901991958242</v>
      </c>
      <c r="CT214" s="22">
        <f t="shared" si="130"/>
        <v>661.1590517169892</v>
      </c>
      <c r="CU214" s="22">
        <f t="shared" si="130"/>
        <v>680.9938232684989</v>
      </c>
      <c r="CV214" s="22">
        <f t="shared" si="130"/>
        <v>701.4236379665539</v>
      </c>
      <c r="CW214" s="22">
        <f t="shared" si="130"/>
        <v>722.4663471055505</v>
      </c>
      <c r="CX214" s="22">
        <f t="shared" si="130"/>
        <v>744.140337518717</v>
      </c>
      <c r="CY214" s="22">
        <f t="shared" si="130"/>
        <v>766.4645476442786</v>
      </c>
      <c r="CZ214" s="22">
        <f t="shared" si="130"/>
        <v>789.458484073607</v>
      </c>
      <c r="DA214" s="22">
        <f t="shared" si="130"/>
        <v>813.1422385958152</v>
      </c>
      <c r="DB214" s="22">
        <f t="shared" si="130"/>
        <v>837.5365057536897</v>
      </c>
      <c r="DC214" s="22">
        <f t="shared" si="130"/>
        <v>862.6626009263003</v>
      </c>
      <c r="DD214" s="22">
        <f t="shared" si="130"/>
        <v>888.5424789540893</v>
      </c>
      <c r="DE214" s="22">
        <f t="shared" si="130"/>
        <v>915.198753322712</v>
      </c>
      <c r="DF214" s="22">
        <f t="shared" si="130"/>
        <v>942.6547159223934</v>
      </c>
      <c r="DG214" s="22">
        <f t="shared" si="130"/>
        <v>970.9343574000652</v>
      </c>
      <c r="DH214" s="22">
        <f t="shared" si="130"/>
        <v>1000.0623881220672</v>
      </c>
      <c r="DI214" s="22">
        <f t="shared" si="130"/>
        <v>1030.0642597657293</v>
      </c>
      <c r="DJ214" s="22">
        <f t="shared" si="130"/>
        <v>1060.9661875587012</v>
      </c>
      <c r="DK214" s="22">
        <f t="shared" si="130"/>
        <v>1092.7951731854623</v>
      </c>
      <c r="DL214" s="22">
        <f t="shared" si="130"/>
        <v>1125.5790283810263</v>
      </c>
      <c r="DM214" s="22">
        <f t="shared" si="130"/>
        <v>1159.346399232457</v>
      </c>
      <c r="DN214" s="22">
        <f t="shared" si="130"/>
        <v>1194.1267912094308</v>
      </c>
      <c r="DO214" s="22">
        <f t="shared" si="130"/>
        <v>1229.9505949457139</v>
      </c>
      <c r="DP214" s="22">
        <f t="shared" si="130"/>
        <v>1266.8491127940854</v>
      </c>
      <c r="DQ214" s="22">
        <f t="shared" si="130"/>
        <v>1304.854586177908</v>
      </c>
      <c r="DR214" s="22">
        <f t="shared" si="130"/>
        <v>1344.0002237632452</v>
      </c>
      <c r="DS214" s="22">
        <f t="shared" si="130"/>
        <v>1384.3202304761426</v>
      </c>
      <c r="DT214" s="22">
        <f t="shared" si="130"/>
        <v>1425.849837390427</v>
      </c>
      <c r="DU214" s="22">
        <f t="shared" si="130"/>
        <v>1468.6253325121397</v>
      </c>
      <c r="DV214" s="22">
        <f t="shared" si="130"/>
        <v>1512.684092487504</v>
      </c>
      <c r="DW214" s="22">
        <f t="shared" si="130"/>
        <v>1558.064615262129</v>
      </c>
      <c r="DX214" s="22">
        <f t="shared" si="130"/>
        <v>1604.806553719993</v>
      </c>
      <c r="DY214" s="22">
        <f t="shared" si="130"/>
        <v>1652.9507503315929</v>
      </c>
      <c r="DZ214" s="22">
        <f t="shared" si="130"/>
        <v>1702.5392728415407</v>
      </c>
      <c r="EA214" s="22">
        <f t="shared" si="130"/>
        <v>1753.615451026787</v>
      </c>
      <c r="EB214" s="22">
        <f t="shared" si="130"/>
        <v>1806.2239145575907</v>
      </c>
      <c r="EC214" s="22">
        <f t="shared" si="130"/>
        <v>1860.4106319943185</v>
      </c>
      <c r="ED214" s="22">
        <f t="shared" si="130"/>
        <v>1916.222950954148</v>
      </c>
      <c r="EE214" s="22">
        <f t="shared" si="130"/>
        <v>1973.7096394827724</v>
      </c>
      <c r="EF214" s="22">
        <f t="shared" si="130"/>
        <v>2032.9209286672556</v>
      </c>
      <c r="EG214" s="22">
        <f t="shared" si="130"/>
        <v>2093.9085565272735</v>
      </c>
      <c r="EH214" s="22">
        <f t="shared" si="130"/>
        <v>2156.725813223092</v>
      </c>
      <c r="EI214" s="22">
        <f t="shared" si="130"/>
        <v>2221.4275876197844</v>
      </c>
      <c r="EJ214" s="22">
        <f t="shared" si="130"/>
        <v>2288.070415248378</v>
      </c>
      <c r="EK214" s="22">
        <f t="shared" si="130"/>
        <v>2356.7125277058294</v>
      </c>
      <c r="EL214" s="22">
        <f t="shared" si="130"/>
        <v>2427.4139035370044</v>
      </c>
      <c r="EM214" s="22">
        <f t="shared" si="130"/>
        <v>2500.2363206431146</v>
      </c>
      <c r="EN214" s="22">
        <f t="shared" si="130"/>
        <v>2575.243410262408</v>
      </c>
      <c r="EO214" s="22">
        <f t="shared" si="130"/>
        <v>2652.50071257028</v>
      </c>
      <c r="EP214" s="22">
        <f aca="true" t="shared" si="131" ref="EP214:HA214">EO214*(1+$O$8)</f>
        <v>2732.0757339473885</v>
      </c>
      <c r="EQ214" s="22">
        <f t="shared" si="131"/>
        <v>2814.03800596581</v>
      </c>
      <c r="ER214" s="22">
        <f t="shared" si="131"/>
        <v>2898.4591461447844</v>
      </c>
      <c r="ES214" s="22">
        <f t="shared" si="131"/>
        <v>2985.412920529128</v>
      </c>
      <c r="ET214" s="22">
        <f t="shared" si="131"/>
        <v>3074.9753081450017</v>
      </c>
      <c r="EU214" s="22">
        <f t="shared" si="131"/>
        <v>3167.2245673893517</v>
      </c>
      <c r="EV214" s="22">
        <f t="shared" si="131"/>
        <v>3262.241304411032</v>
      </c>
      <c r="EW214" s="22">
        <f t="shared" si="131"/>
        <v>3360.1085435433633</v>
      </c>
      <c r="EX214" s="22">
        <f t="shared" si="131"/>
        <v>3460.9117998496645</v>
      </c>
      <c r="EY214" s="22">
        <f t="shared" si="131"/>
        <v>3564.7391538451543</v>
      </c>
      <c r="EZ214" s="22">
        <f t="shared" si="131"/>
        <v>3671.681328460509</v>
      </c>
      <c r="FA214" s="22">
        <f t="shared" si="131"/>
        <v>3781.8317683143246</v>
      </c>
      <c r="FB214" s="22">
        <f t="shared" si="131"/>
        <v>3895.2867213637546</v>
      </c>
      <c r="FC214" s="22">
        <f t="shared" si="131"/>
        <v>4012.1453230046673</v>
      </c>
      <c r="FD214" s="22">
        <f t="shared" si="131"/>
        <v>4132.509682694807</v>
      </c>
      <c r="FE214" s="22">
        <f t="shared" si="131"/>
        <v>4256.484973175652</v>
      </c>
      <c r="FF214" s="22">
        <f t="shared" si="131"/>
        <v>4384.179522370921</v>
      </c>
      <c r="FG214" s="22">
        <f t="shared" si="131"/>
        <v>4515.704908042049</v>
      </c>
      <c r="FH214" s="22">
        <f t="shared" si="131"/>
        <v>4651.176055283311</v>
      </c>
      <c r="FI214" s="22">
        <f t="shared" si="131"/>
        <v>4790.71133694181</v>
      </c>
      <c r="FJ214" s="22">
        <f t="shared" si="131"/>
        <v>4934.432677050065</v>
      </c>
      <c r="FK214" s="22">
        <f t="shared" si="131"/>
        <v>5082.465657361567</v>
      </c>
      <c r="FL214" s="22">
        <f t="shared" si="131"/>
        <v>5234.939627082414</v>
      </c>
      <c r="FM214" s="22">
        <f t="shared" si="131"/>
        <v>5391.987815894886</v>
      </c>
      <c r="FN214" s="22">
        <f t="shared" si="131"/>
        <v>5553.747450371733</v>
      </c>
      <c r="FO214" s="22">
        <f t="shared" si="131"/>
        <v>5720.359873882885</v>
      </c>
      <c r="FP214" s="22">
        <f t="shared" si="131"/>
        <v>5891.970670099372</v>
      </c>
      <c r="FQ214" s="22">
        <f t="shared" si="131"/>
        <v>6068.729790202353</v>
      </c>
      <c r="FR214" s="22">
        <f t="shared" si="131"/>
        <v>6250.791683908424</v>
      </c>
      <c r="FS214" s="22">
        <f t="shared" si="131"/>
        <v>6438.315434425676</v>
      </c>
      <c r="FT214" s="22">
        <f t="shared" si="131"/>
        <v>6631.464897458447</v>
      </c>
      <c r="FU214" s="22">
        <f t="shared" si="131"/>
        <v>6830.4088443822</v>
      </c>
      <c r="FV214" s="22">
        <f t="shared" si="131"/>
        <v>7035.321109713666</v>
      </c>
      <c r="FW214" s="22">
        <f t="shared" si="131"/>
        <v>7246.3807430050765</v>
      </c>
      <c r="FX214" s="22">
        <f t="shared" si="131"/>
        <v>7463.772165295229</v>
      </c>
      <c r="FY214" s="22">
        <f t="shared" si="131"/>
        <v>7687.685330254086</v>
      </c>
      <c r="FZ214" s="22">
        <f t="shared" si="131"/>
        <v>7918.315890161709</v>
      </c>
      <c r="GA214" s="22">
        <f t="shared" si="131"/>
        <v>8155.86536686656</v>
      </c>
      <c r="GB214" s="22">
        <f t="shared" si="131"/>
        <v>8400.541327872557</v>
      </c>
      <c r="GC214" s="22">
        <f t="shared" si="131"/>
        <v>8652.557567708734</v>
      </c>
      <c r="GD214" s="22">
        <f t="shared" si="131"/>
        <v>8912.134294739997</v>
      </c>
      <c r="GE214" s="22">
        <f t="shared" si="131"/>
        <v>9179.498323582196</v>
      </c>
      <c r="GF214" s="22">
        <f t="shared" si="131"/>
        <v>9454.883273289663</v>
      </c>
      <c r="GG214" s="22">
        <f t="shared" si="131"/>
        <v>9738.529771488353</v>
      </c>
      <c r="GH214" s="22">
        <f t="shared" si="131"/>
        <v>10030.685664633003</v>
      </c>
      <c r="GI214" s="22">
        <f t="shared" si="131"/>
        <v>10331.606234571993</v>
      </c>
      <c r="GJ214" s="22">
        <f t="shared" si="131"/>
        <v>10641.554421609153</v>
      </c>
      <c r="GK214" s="22">
        <f t="shared" si="131"/>
        <v>10960.801054257428</v>
      </c>
      <c r="GL214" s="22">
        <f t="shared" si="131"/>
        <v>11289.62508588515</v>
      </c>
      <c r="GM214" s="22">
        <f t="shared" si="131"/>
        <v>11628.313838461705</v>
      </c>
      <c r="GN214" s="22">
        <f t="shared" si="131"/>
        <v>11977.163253615556</v>
      </c>
      <c r="GO214" s="22">
        <f t="shared" si="131"/>
        <v>12336.478151224022</v>
      </c>
      <c r="GP214" s="22">
        <f t="shared" si="131"/>
        <v>12706.572495760744</v>
      </c>
      <c r="GQ214" s="22">
        <f t="shared" si="131"/>
        <v>13087.769670633566</v>
      </c>
      <c r="GR214" s="22">
        <f t="shared" si="131"/>
        <v>13480.402760752573</v>
      </c>
      <c r="GS214" s="22">
        <f t="shared" si="131"/>
        <v>13884.81484357515</v>
      </c>
      <c r="GT214" s="22">
        <f t="shared" si="131"/>
        <v>14301.359288882404</v>
      </c>
      <c r="GU214" s="22">
        <f t="shared" si="131"/>
        <v>14730.400067548877</v>
      </c>
      <c r="GV214" s="22">
        <f t="shared" si="131"/>
        <v>15172.312069575344</v>
      </c>
      <c r="GW214" s="22">
        <f t="shared" si="131"/>
        <v>15627.481431662605</v>
      </c>
      <c r="GX214" s="22">
        <f t="shared" si="131"/>
        <v>16096.305874612484</v>
      </c>
      <c r="GY214" s="22">
        <f t="shared" si="131"/>
        <v>16579.19505085086</v>
      </c>
      <c r="GZ214" s="22">
        <f t="shared" si="131"/>
        <v>17076.570902376385</v>
      </c>
      <c r="HA214" s="22">
        <f t="shared" si="131"/>
        <v>17588.868029447676</v>
      </c>
      <c r="HB214" s="22">
        <f aca="true" t="shared" si="132" ref="HB214:IV214">HA214*(1+$O$8)</f>
        <v>18116.53407033111</v>
      </c>
      <c r="HC214" s="22">
        <f t="shared" si="132"/>
        <v>18660.030092441044</v>
      </c>
      <c r="HD214" s="22">
        <f t="shared" si="132"/>
        <v>19219.830995214277</v>
      </c>
      <c r="HE214" s="22">
        <f t="shared" si="132"/>
        <v>19796.425925070707</v>
      </c>
      <c r="HF214" s="22">
        <f t="shared" si="132"/>
        <v>20390.318702822828</v>
      </c>
      <c r="HG214" s="22">
        <f t="shared" si="132"/>
        <v>21002.028263907512</v>
      </c>
      <c r="HH214" s="22">
        <f t="shared" si="132"/>
        <v>21632.08911182474</v>
      </c>
      <c r="HI214" s="22">
        <f t="shared" si="132"/>
        <v>22281.05178517948</v>
      </c>
      <c r="HJ214" s="22">
        <f t="shared" si="132"/>
        <v>22949.483338734863</v>
      </c>
      <c r="HK214" s="22">
        <f t="shared" si="132"/>
        <v>23637.967838896908</v>
      </c>
      <c r="HL214" s="22">
        <f t="shared" si="132"/>
        <v>24347.106874063815</v>
      </c>
      <c r="HM214" s="22">
        <f t="shared" si="132"/>
        <v>25077.52008028573</v>
      </c>
      <c r="HN214" s="22">
        <f t="shared" si="132"/>
        <v>25829.8456826943</v>
      </c>
      <c r="HO214" s="22">
        <f t="shared" si="132"/>
        <v>26604.74105317513</v>
      </c>
      <c r="HP214" s="22">
        <f t="shared" si="132"/>
        <v>27402.883284770385</v>
      </c>
      <c r="HQ214" s="22">
        <f t="shared" si="132"/>
        <v>28224.969783313496</v>
      </c>
      <c r="HR214" s="22">
        <f t="shared" si="132"/>
        <v>29071.7188768129</v>
      </c>
      <c r="HS214" s="22">
        <f t="shared" si="132"/>
        <v>29943.87044311729</v>
      </c>
      <c r="HT214" s="22">
        <f t="shared" si="132"/>
        <v>30842.18655641081</v>
      </c>
      <c r="HU214" s="22">
        <f t="shared" si="132"/>
        <v>31767.452153103135</v>
      </c>
      <c r="HV214" s="22">
        <f t="shared" si="132"/>
        <v>32720.47571769623</v>
      </c>
      <c r="HW214" s="22">
        <f t="shared" si="132"/>
        <v>33702.08998922712</v>
      </c>
      <c r="HX214" s="22">
        <f t="shared" si="132"/>
        <v>34713.15268890393</v>
      </c>
      <c r="HY214" s="22">
        <f t="shared" si="132"/>
        <v>35754.54726957105</v>
      </c>
      <c r="HZ214" s="22">
        <f t="shared" si="132"/>
        <v>36827.18368765818</v>
      </c>
      <c r="IA214" s="22">
        <f t="shared" si="132"/>
        <v>37931.99919828793</v>
      </c>
      <c r="IB214" s="22">
        <f t="shared" si="132"/>
        <v>39069.95917423657</v>
      </c>
      <c r="IC214" s="22">
        <f t="shared" si="132"/>
        <v>40242.05794946366</v>
      </c>
      <c r="ID214" s="22">
        <f t="shared" si="132"/>
        <v>41449.31968794757</v>
      </c>
      <c r="IE214" s="22">
        <f t="shared" si="132"/>
        <v>42692.799278586004</v>
      </c>
      <c r="IF214" s="22">
        <f t="shared" si="132"/>
        <v>43973.58325694359</v>
      </c>
      <c r="IG214" s="22">
        <f t="shared" si="132"/>
        <v>45292.7907546519</v>
      </c>
      <c r="IH214" s="22">
        <f t="shared" si="132"/>
        <v>46651.574477291455</v>
      </c>
      <c r="II214" s="22">
        <f t="shared" si="132"/>
        <v>48051.1217116102</v>
      </c>
      <c r="IJ214" s="22">
        <f t="shared" si="132"/>
        <v>49492.6553629585</v>
      </c>
      <c r="IK214" s="22">
        <f t="shared" si="132"/>
        <v>50977.43502384726</v>
      </c>
      <c r="IL214" s="22">
        <f t="shared" si="132"/>
        <v>52506.758074562684</v>
      </c>
      <c r="IM214" s="22">
        <f t="shared" si="132"/>
        <v>54081.96081679957</v>
      </c>
      <c r="IN214" s="22">
        <f t="shared" si="132"/>
        <v>55704.41964130355</v>
      </c>
      <c r="IO214" s="22">
        <f t="shared" si="132"/>
        <v>57375.552230542664</v>
      </c>
      <c r="IP214" s="22">
        <f t="shared" si="132"/>
        <v>59096.818797458945</v>
      </c>
      <c r="IQ214" s="22">
        <f t="shared" si="132"/>
        <v>60869.72336138271</v>
      </c>
      <c r="IR214" s="22">
        <f t="shared" si="132"/>
        <v>62695.815062224196</v>
      </c>
      <c r="IS214" s="22">
        <f t="shared" si="132"/>
        <v>64576.689514090926</v>
      </c>
      <c r="IT214" s="22">
        <f t="shared" si="132"/>
        <v>66513.99019951366</v>
      </c>
      <c r="IU214" s="22">
        <f t="shared" si="132"/>
        <v>68509.40990549907</v>
      </c>
      <c r="IV214" s="22">
        <f t="shared" si="132"/>
        <v>70564.69220266404</v>
      </c>
    </row>
    <row r="215" spans="3:256" ht="12" customHeight="1">
      <c r="C215" s="82" t="s">
        <v>173</v>
      </c>
      <c r="D215" s="71"/>
      <c r="E215" s="71">
        <f>E180</f>
        <v>-16.95880185883874</v>
      </c>
      <c r="F215" s="71">
        <f>F180</f>
        <v>14.971669430691492</v>
      </c>
      <c r="G215" s="71">
        <f>G180</f>
        <v>19.724669505931786</v>
      </c>
      <c r="H215" s="71">
        <f>H180</f>
        <v>20.794393392114415</v>
      </c>
      <c r="I215" s="71">
        <f aca="true" t="shared" si="133" ref="I215:O215">I180</f>
        <v>21.42707948457226</v>
      </c>
      <c r="J215" s="71">
        <f t="shared" si="133"/>
        <v>21.817222426259576</v>
      </c>
      <c r="K215" s="71">
        <f t="shared" si="133"/>
        <v>22.47173909904737</v>
      </c>
      <c r="L215" s="71">
        <f t="shared" si="133"/>
        <v>23.1458912720187</v>
      </c>
      <c r="M215" s="71">
        <f t="shared" si="133"/>
        <v>23.840268010179386</v>
      </c>
      <c r="N215" s="71">
        <f t="shared" si="133"/>
        <v>24.555476050484657</v>
      </c>
      <c r="O215" s="71">
        <f t="shared" si="133"/>
        <v>25.292140331999235</v>
      </c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  <c r="AT215" s="71"/>
      <c r="AU215" s="71"/>
      <c r="AV215" s="71"/>
      <c r="AW215" s="71"/>
      <c r="AX215" s="71"/>
      <c r="AY215" s="71"/>
      <c r="AZ215" s="71"/>
      <c r="BA215" s="71"/>
      <c r="BB215" s="71"/>
      <c r="BC215" s="71"/>
      <c r="BD215" s="71"/>
      <c r="BE215" s="71"/>
      <c r="BF215" s="71"/>
      <c r="BG215" s="71"/>
      <c r="BH215" s="71"/>
      <c r="BI215" s="71"/>
      <c r="BJ215" s="71"/>
      <c r="BK215" s="71"/>
      <c r="BL215" s="71"/>
      <c r="BM215" s="71"/>
      <c r="BN215" s="71"/>
      <c r="BO215" s="71"/>
      <c r="BP215" s="71"/>
      <c r="BQ215" s="71"/>
      <c r="BR215" s="71"/>
      <c r="BS215" s="71"/>
      <c r="BT215" s="71"/>
      <c r="BU215" s="71"/>
      <c r="BV215" s="71"/>
      <c r="BW215" s="71"/>
      <c r="BX215" s="71"/>
      <c r="BY215" s="71"/>
      <c r="BZ215" s="71"/>
      <c r="CA215" s="71"/>
      <c r="CB215" s="71"/>
      <c r="CC215" s="71"/>
      <c r="CD215" s="71"/>
      <c r="CE215" s="71"/>
      <c r="CF215" s="71"/>
      <c r="CG215" s="71"/>
      <c r="CH215" s="71"/>
      <c r="CI215" s="71"/>
      <c r="CJ215" s="71"/>
      <c r="CK215" s="71"/>
      <c r="CL215" s="71"/>
      <c r="CM215" s="71"/>
      <c r="CN215" s="71"/>
      <c r="CO215" s="71"/>
      <c r="CP215" s="71"/>
      <c r="CQ215" s="71"/>
      <c r="CR215" s="71"/>
      <c r="CS215" s="71"/>
      <c r="CT215" s="71"/>
      <c r="CU215" s="71"/>
      <c r="CV215" s="71"/>
      <c r="CW215" s="71"/>
      <c r="CX215" s="71"/>
      <c r="CY215" s="71"/>
      <c r="CZ215" s="71"/>
      <c r="DA215" s="71"/>
      <c r="DB215" s="71"/>
      <c r="DC215" s="71"/>
      <c r="DD215" s="71"/>
      <c r="DE215" s="71"/>
      <c r="DF215" s="71"/>
      <c r="DG215" s="71"/>
      <c r="DH215" s="71"/>
      <c r="DI215" s="71"/>
      <c r="DJ215" s="71"/>
      <c r="DK215" s="71"/>
      <c r="DL215" s="71"/>
      <c r="DM215" s="71"/>
      <c r="DN215" s="71"/>
      <c r="DO215" s="71"/>
      <c r="DP215" s="71"/>
      <c r="DQ215" s="71"/>
      <c r="DR215" s="71"/>
      <c r="DS215" s="71"/>
      <c r="DT215" s="71"/>
      <c r="DU215" s="71"/>
      <c r="DV215" s="71"/>
      <c r="DW215" s="71"/>
      <c r="DX215" s="71"/>
      <c r="DY215" s="71"/>
      <c r="DZ215" s="71"/>
      <c r="EA215" s="71"/>
      <c r="EB215" s="71"/>
      <c r="EC215" s="71"/>
      <c r="ED215" s="71"/>
      <c r="EE215" s="71"/>
      <c r="EF215" s="71"/>
      <c r="EG215" s="71"/>
      <c r="EH215" s="71"/>
      <c r="EI215" s="71"/>
      <c r="EJ215" s="71"/>
      <c r="EK215" s="71"/>
      <c r="EL215" s="71"/>
      <c r="EM215" s="71"/>
      <c r="EN215" s="71"/>
      <c r="EO215" s="71"/>
      <c r="EP215" s="71"/>
      <c r="EQ215" s="71"/>
      <c r="ER215" s="71"/>
      <c r="ES215" s="71"/>
      <c r="ET215" s="71"/>
      <c r="EU215" s="71"/>
      <c r="EV215" s="71"/>
      <c r="EW215" s="71"/>
      <c r="EX215" s="71"/>
      <c r="EY215" s="71"/>
      <c r="EZ215" s="71"/>
      <c r="FA215" s="71"/>
      <c r="FB215" s="71"/>
      <c r="FC215" s="71"/>
      <c r="FD215" s="71"/>
      <c r="FE215" s="71"/>
      <c r="FF215" s="71"/>
      <c r="FG215" s="71"/>
      <c r="FH215" s="71"/>
      <c r="FI215" s="71"/>
      <c r="FJ215" s="71"/>
      <c r="FK215" s="71"/>
      <c r="FL215" s="71"/>
      <c r="FM215" s="71"/>
      <c r="FN215" s="71"/>
      <c r="FO215" s="71"/>
      <c r="FP215" s="71"/>
      <c r="FQ215" s="71"/>
      <c r="FR215" s="71"/>
      <c r="FS215" s="71"/>
      <c r="FT215" s="71"/>
      <c r="FU215" s="71"/>
      <c r="FV215" s="71"/>
      <c r="FW215" s="71"/>
      <c r="FX215" s="71"/>
      <c r="FY215" s="71"/>
      <c r="FZ215" s="71"/>
      <c r="GA215" s="71"/>
      <c r="GB215" s="71"/>
      <c r="GC215" s="71"/>
      <c r="GD215" s="71"/>
      <c r="GE215" s="71"/>
      <c r="GF215" s="71"/>
      <c r="GG215" s="71"/>
      <c r="GH215" s="71"/>
      <c r="GI215" s="71"/>
      <c r="GJ215" s="71"/>
      <c r="GK215" s="71"/>
      <c r="GL215" s="71"/>
      <c r="GM215" s="71"/>
      <c r="GN215" s="71"/>
      <c r="GO215" s="71"/>
      <c r="GP215" s="71"/>
      <c r="GQ215" s="71"/>
      <c r="GR215" s="71"/>
      <c r="GS215" s="71"/>
      <c r="GT215" s="71"/>
      <c r="GU215" s="71"/>
      <c r="GV215" s="71"/>
      <c r="GW215" s="71"/>
      <c r="GX215" s="71"/>
      <c r="GY215" s="71"/>
      <c r="GZ215" s="71"/>
      <c r="HA215" s="71"/>
      <c r="HB215" s="71"/>
      <c r="HC215" s="71"/>
      <c r="HD215" s="71"/>
      <c r="HE215" s="71"/>
      <c r="HF215" s="71"/>
      <c r="HG215" s="71"/>
      <c r="HH215" s="71"/>
      <c r="HI215" s="71"/>
      <c r="HJ215" s="71"/>
      <c r="HK215" s="71"/>
      <c r="HL215" s="71"/>
      <c r="HM215" s="71"/>
      <c r="HN215" s="71"/>
      <c r="HO215" s="71"/>
      <c r="HP215" s="71"/>
      <c r="HQ215" s="71"/>
      <c r="HR215" s="71"/>
      <c r="HS215" s="71"/>
      <c r="HT215" s="71"/>
      <c r="HU215" s="71"/>
      <c r="HV215" s="71"/>
      <c r="HW215" s="71"/>
      <c r="HX215" s="71"/>
      <c r="HY215" s="71"/>
      <c r="HZ215" s="71"/>
      <c r="IA215" s="71"/>
      <c r="IB215" s="71"/>
      <c r="IC215" s="71"/>
      <c r="ID215" s="71"/>
      <c r="IE215" s="71"/>
      <c r="IF215" s="71"/>
      <c r="IG215" s="71"/>
      <c r="IH215" s="71"/>
      <c r="II215" s="71"/>
      <c r="IJ215" s="71"/>
      <c r="IK215" s="71"/>
      <c r="IL215" s="71"/>
      <c r="IM215" s="71"/>
      <c r="IN215" s="71"/>
      <c r="IO215" s="71"/>
      <c r="IP215" s="71"/>
      <c r="IQ215" s="71"/>
      <c r="IR215" s="71"/>
      <c r="IS215" s="71"/>
      <c r="IT215" s="71"/>
      <c r="IU215" s="71"/>
      <c r="IV215" s="71"/>
    </row>
    <row r="216" spans="1:256" s="82" customFormat="1" ht="12" customHeight="1">
      <c r="A216" s="65"/>
      <c r="C216" s="66" t="s">
        <v>31</v>
      </c>
      <c r="D216" s="67">
        <v>1</v>
      </c>
      <c r="E216" s="148">
        <f>1/(1+D164)</f>
        <v>0.9272314326432318</v>
      </c>
      <c r="F216" s="148">
        <f aca="true" t="shared" si="134" ref="F216:O216">E216/(1+E164)</f>
        <v>0.8594773784394164</v>
      </c>
      <c r="G216" s="148">
        <f t="shared" si="134"/>
        <v>0.7963501060030885</v>
      </c>
      <c r="H216" s="148">
        <f t="shared" si="134"/>
        <v>0.7376603865373267</v>
      </c>
      <c r="I216" s="148">
        <f t="shared" si="134"/>
        <v>0.6832964737325475</v>
      </c>
      <c r="J216" s="148">
        <f t="shared" si="134"/>
        <v>0.6329395330584101</v>
      </c>
      <c r="K216" s="148">
        <f t="shared" si="134"/>
        <v>0.5862937508221415</v>
      </c>
      <c r="L216" s="148">
        <f t="shared" si="134"/>
        <v>0.5430856255606548</v>
      </c>
      <c r="M216" s="148">
        <f t="shared" si="134"/>
        <v>0.5030618120643785</v>
      </c>
      <c r="N216" s="148">
        <f t="shared" si="134"/>
        <v>0.46598763592064857</v>
      </c>
      <c r="O216" s="148">
        <f t="shared" si="134"/>
        <v>0.4316457175308831</v>
      </c>
      <c r="P216" s="148">
        <f>O216/(1+$O$164)</f>
        <v>0.39983469753364526</v>
      </c>
      <c r="Q216" s="148">
        <f>P216/(1+$O$164)</f>
        <v>0.37036805616027796</v>
      </c>
      <c r="R216" s="148">
        <f aca="true" t="shared" si="135" ref="R216:CC216">Q216/(1+$O$164)</f>
        <v>0.34307301960055636</v>
      </c>
      <c r="S216" s="148">
        <f t="shared" si="135"/>
        <v>0.31778954696597556</v>
      </c>
      <c r="T216" s="148">
        <f t="shared" si="135"/>
        <v>0.29436939191086486</v>
      </c>
      <c r="U216" s="148">
        <f t="shared" si="135"/>
        <v>0.2726752334092662</v>
      </c>
      <c r="V216" s="148">
        <f t="shared" si="135"/>
        <v>0.2525798705910006</v>
      </c>
      <c r="W216" s="148">
        <f t="shared" si="135"/>
        <v>0.23396547691594882</v>
      </c>
      <c r="X216" s="148">
        <f t="shared" si="135"/>
        <v>0.2167229093134936</v>
      </c>
      <c r="Y216" s="148">
        <f t="shared" si="135"/>
        <v>0.2007510682363541</v>
      </c>
      <c r="Z216" s="148">
        <f t="shared" si="135"/>
        <v>0.18595630487657025</v>
      </c>
      <c r="AA216" s="148">
        <f t="shared" si="135"/>
        <v>0.17225187206792597</v>
      </c>
      <c r="AB216" s="148">
        <f t="shared" si="135"/>
        <v>0.15955741565524906</v>
      </c>
      <c r="AC216" s="148">
        <f t="shared" si="135"/>
        <v>0.14779850334829778</v>
      </c>
      <c r="AD216" s="148">
        <f t="shared" si="135"/>
        <v>0.13690618829773055</v>
      </c>
      <c r="AE216" s="148">
        <f t="shared" si="135"/>
        <v>0.12681660483424323</v>
      </c>
      <c r="AF216" s="148">
        <f t="shared" si="135"/>
        <v>0.11747059400054305</v>
      </c>
      <c r="AG216" s="148">
        <f t="shared" si="135"/>
        <v>0.10881335668051492</v>
      </c>
      <c r="AH216" s="148">
        <f t="shared" si="135"/>
        <v>0.10079413229174805</v>
      </c>
      <c r="AI216" s="148">
        <f t="shared" si="135"/>
        <v>0.09336590115747848</v>
      </c>
      <c r="AJ216" s="148">
        <f t="shared" si="135"/>
        <v>0.08648510881284417</v>
      </c>
      <c r="AK216" s="148">
        <f t="shared" si="135"/>
        <v>0.08011141062895837</v>
      </c>
      <c r="AL216" s="148">
        <f t="shared" si="135"/>
        <v>0.07420743525743764</v>
      </c>
      <c r="AM216" s="148">
        <f t="shared" si="135"/>
        <v>0.06873856550837269</v>
      </c>
      <c r="AN216" s="148">
        <f t="shared" si="135"/>
        <v>0.06367273537694822</v>
      </c>
      <c r="AO216" s="148">
        <f t="shared" si="135"/>
        <v>0.058980242028604</v>
      </c>
      <c r="AP216" s="148">
        <f t="shared" si="135"/>
        <v>0.054633571640336775</v>
      </c>
      <c r="AQ216" s="148">
        <f t="shared" si="135"/>
        <v>0.05060723807698587</v>
      </c>
      <c r="AR216" s="148">
        <f t="shared" si="135"/>
        <v>0.04687763345660227</v>
      </c>
      <c r="AS216" s="148">
        <f t="shared" si="135"/>
        <v>0.0434228897287105</v>
      </c>
      <c r="AT216" s="148">
        <f t="shared" si="135"/>
        <v>0.0402227504538455</v>
      </c>
      <c r="AU216" s="148">
        <f t="shared" si="135"/>
        <v>0.03725845203256059</v>
      </c>
      <c r="AV216" s="148">
        <f t="shared" si="135"/>
        <v>0.03451261368750829</v>
      </c>
      <c r="AW216" s="148">
        <f t="shared" si="135"/>
        <v>0.031969135553518185</v>
      </c>
      <c r="AX216" s="148">
        <f t="shared" si="135"/>
        <v>0.029613104278136397</v>
      </c>
      <c r="AY216" s="148">
        <f t="shared" si="135"/>
        <v>0.027430705579127673</v>
      </c>
      <c r="AZ216" s="148">
        <f t="shared" si="135"/>
        <v>0.02540914324623243</v>
      </c>
      <c r="BA216" s="148">
        <f t="shared" si="135"/>
        <v>0.02353656411225608</v>
      </c>
      <c r="BB216" s="148">
        <f t="shared" si="135"/>
        <v>0.021801988553568463</v>
      </c>
      <c r="BC216" s="148">
        <f t="shared" si="135"/>
        <v>0.020195246112512052</v>
      </c>
      <c r="BD216" s="148">
        <f t="shared" si="135"/>
        <v>0.018706915864249374</v>
      </c>
      <c r="BE216" s="148">
        <f t="shared" si="135"/>
        <v>0.0173282711783984</v>
      </c>
      <c r="BF216" s="148">
        <f t="shared" si="135"/>
        <v>0.016051228551572958</v>
      </c>
      <c r="BG216" s="148">
        <f t="shared" si="135"/>
        <v>0.014868300210814452</v>
      </c>
      <c r="BH216" s="148">
        <f t="shared" si="135"/>
        <v>0.013772550210011272</v>
      </c>
      <c r="BI216" s="148">
        <f t="shared" si="135"/>
        <v>0.012757553761882989</v>
      </c>
      <c r="BJ216" s="148">
        <f t="shared" si="135"/>
        <v>0.011817359567077707</v>
      </c>
      <c r="BK216" s="148">
        <f t="shared" si="135"/>
        <v>0.010946454919504174</v>
      </c>
      <c r="BL216" s="148">
        <f t="shared" si="135"/>
        <v>0.010139733383298278</v>
      </c>
      <c r="BM216" s="148">
        <f t="shared" si="135"/>
        <v>0.00939246485190208</v>
      </c>
      <c r="BN216" s="148">
        <f t="shared" si="135"/>
        <v>0.008700267813700644</v>
      </c>
      <c r="BO216" s="148">
        <f t="shared" si="135"/>
        <v>0.008059083661599901</v>
      </c>
      <c r="BP216" s="148">
        <f t="shared" si="135"/>
        <v>0.007465152895913051</v>
      </c>
      <c r="BQ216" s="148">
        <f t="shared" si="135"/>
        <v>0.006914993081024265</v>
      </c>
      <c r="BR216" s="148">
        <f t="shared" si="135"/>
        <v>0.006405378426581444</v>
      </c>
      <c r="BS216" s="148">
        <f t="shared" si="135"/>
        <v>0.00593332087349503</v>
      </c>
      <c r="BT216" s="148">
        <f t="shared" si="135"/>
        <v>0.0054960525738430716</v>
      </c>
      <c r="BU216" s="148">
        <f t="shared" si="135"/>
        <v>0.00509100966195577</v>
      </c>
      <c r="BV216" s="148">
        <f t="shared" si="135"/>
        <v>0.0047158172215233714</v>
      </c>
      <c r="BW216" s="148">
        <f t="shared" si="135"/>
        <v>0.004368275360583988</v>
      </c>
      <c r="BX216" s="148">
        <f t="shared" si="135"/>
        <v>0.004046346312743877</v>
      </c>
      <c r="BY216" s="148">
        <f t="shared" si="135"/>
        <v>0.0037481424889998466</v>
      </c>
      <c r="BZ216" s="148">
        <f t="shared" si="135"/>
        <v>0.0034719154101072124</v>
      </c>
      <c r="CA216" s="148">
        <f t="shared" si="135"/>
        <v>0.003216045454599692</v>
      </c>
      <c r="CB216" s="148">
        <f t="shared" si="135"/>
        <v>0.0029790323623500813</v>
      </c>
      <c r="CC216" s="148">
        <f t="shared" si="135"/>
        <v>0.002759486437990582</v>
      </c>
      <c r="CD216" s="148">
        <f aca="true" t="shared" si="136" ref="CD216:EO216">CC216/(1+$O$164)</f>
        <v>0.002556120402615183</v>
      </c>
      <c r="CE216" s="148">
        <f t="shared" si="136"/>
        <v>0.0023677418459876138</v>
      </c>
      <c r="CF216" s="148">
        <f t="shared" si="136"/>
        <v>0.0021932462349993735</v>
      </c>
      <c r="CG216" s="148">
        <f t="shared" si="136"/>
        <v>0.0020316104373838445</v>
      </c>
      <c r="CH216" s="148">
        <f t="shared" si="136"/>
        <v>0.0018818867227136285</v>
      </c>
      <c r="CI216" s="148">
        <f t="shared" si="136"/>
        <v>0.001743197205506739</v>
      </c>
      <c r="CJ216" s="148">
        <f t="shared" si="136"/>
        <v>0.0016147286978595236</v>
      </c>
      <c r="CK216" s="148">
        <f t="shared" si="136"/>
        <v>0.0014957279414254047</v>
      </c>
      <c r="CL216" s="148">
        <f t="shared" si="136"/>
        <v>0.001385497190782763</v>
      </c>
      <c r="CM216" s="148">
        <f t="shared" si="136"/>
        <v>0.0012833901222956213</v>
      </c>
      <c r="CN216" s="148">
        <f t="shared" si="136"/>
        <v>0.0011888080444792636</v>
      </c>
      <c r="CO216" s="148">
        <f t="shared" si="136"/>
        <v>0.0011011963876507644</v>
      </c>
      <c r="CP216" s="148">
        <f t="shared" si="136"/>
        <v>0.0010200414522819495</v>
      </c>
      <c r="CQ216" s="148">
        <f t="shared" si="136"/>
        <v>0.0009448673969891827</v>
      </c>
      <c r="CR216" s="148">
        <f t="shared" si="136"/>
        <v>0.000875233448499446</v>
      </c>
      <c r="CS216" s="148">
        <f t="shared" si="136"/>
        <v>0.0008107313172337158</v>
      </c>
      <c r="CT216" s="148">
        <f t="shared" si="136"/>
        <v>0.0007509828033542437</v>
      </c>
      <c r="CU216" s="148">
        <f t="shared" si="136"/>
        <v>0.0006956375792391119</v>
      </c>
      <c r="CV216" s="148">
        <f t="shared" si="136"/>
        <v>0.0006443711353818941</v>
      </c>
      <c r="CW216" s="148">
        <f t="shared" si="136"/>
        <v>0.000596882877672469</v>
      </c>
      <c r="CX216" s="148">
        <f t="shared" si="136"/>
        <v>0.0005528943649026434</v>
      </c>
      <c r="CY216" s="148">
        <f t="shared" si="136"/>
        <v>0.0005121476761624274</v>
      </c>
      <c r="CZ216" s="148">
        <f t="shared" si="136"/>
        <v>0.0004744038985544028</v>
      </c>
      <c r="DA216" s="148">
        <f t="shared" si="136"/>
        <v>0.00043944172635909553</v>
      </c>
      <c r="DB216" s="148">
        <f t="shared" si="136"/>
        <v>0.0004070561634377404</v>
      </c>
      <c r="DC216" s="148">
        <f t="shared" si="136"/>
        <v>0.00037705732126414596</v>
      </c>
      <c r="DD216" s="148">
        <f t="shared" si="136"/>
        <v>0.0003492693055380766</v>
      </c>
      <c r="DE216" s="148">
        <f t="shared" si="136"/>
        <v>0.0003235291848519535</v>
      </c>
      <c r="DF216" s="148">
        <f t="shared" si="136"/>
        <v>0.00029968603536378744</v>
      </c>
      <c r="DG216" s="148">
        <f t="shared" si="136"/>
        <v>0.0002776000558749065</v>
      </c>
      <c r="DH216" s="148">
        <f t="shared" si="136"/>
        <v>0.0002571417481238533</v>
      </c>
      <c r="DI216" s="148">
        <f t="shared" si="136"/>
        <v>0.00023819115749021093</v>
      </c>
      <c r="DJ216" s="148">
        <f t="shared" si="136"/>
        <v>0.00022063716965632445</v>
      </c>
      <c r="DK216" s="148">
        <f t="shared" si="136"/>
        <v>0.00020437685910298478</v>
      </c>
      <c r="DL216" s="148">
        <f t="shared" si="136"/>
        <v>0.00018931488561906495</v>
      </c>
      <c r="DM216" s="148">
        <f t="shared" si="136"/>
        <v>0.00017536293528662132</v>
      </c>
      <c r="DN216" s="148">
        <f t="shared" si="136"/>
        <v>0.00016243920266374894</v>
      </c>
      <c r="DO216" s="148">
        <f t="shared" si="136"/>
        <v>0.00015046791112903753</v>
      </c>
      <c r="DP216" s="148">
        <f t="shared" si="136"/>
        <v>0.00013937886857523076</v>
      </c>
      <c r="DQ216" s="148">
        <f t="shared" si="136"/>
        <v>0.00012910705584695593</v>
      </c>
      <c r="DR216" s="148">
        <f t="shared" si="136"/>
        <v>0.0001195922455093828</v>
      </c>
      <c r="DS216" s="148">
        <f t="shared" si="136"/>
        <v>0.00011077864871251116</v>
      </c>
      <c r="DT216" s="148">
        <f t="shared" si="136"/>
        <v>0.00010261458808052181</v>
      </c>
      <c r="DU216" s="148">
        <f t="shared" si="136"/>
        <v>9.505219470822048E-05</v>
      </c>
      <c r="DV216" s="148">
        <f t="shared" si="136"/>
        <v>8.804712748795272E-05</v>
      </c>
      <c r="DW216" s="148">
        <f t="shared" si="136"/>
        <v>8.155831312129978E-05</v>
      </c>
      <c r="DX216" s="148">
        <f t="shared" si="136"/>
        <v>7.55477052911479E-05</v>
      </c>
      <c r="DY216" s="148">
        <f t="shared" si="136"/>
        <v>6.998006158206791E-05</v>
      </c>
      <c r="DZ216" s="148">
        <f t="shared" si="136"/>
        <v>6.48227368410068E-05</v>
      </c>
      <c r="EA216" s="148">
        <f t="shared" si="136"/>
        <v>6.004549176668861E-05</v>
      </c>
      <c r="EB216" s="148">
        <f t="shared" si="136"/>
        <v>5.5620315605413595E-05</v>
      </c>
      <c r="EC216" s="148">
        <f t="shared" si="136"/>
        <v>5.152126191365561E-05</v>
      </c>
      <c r="ED216" s="148">
        <f t="shared" si="136"/>
        <v>4.7724296424473E-05</v>
      </c>
      <c r="EE216" s="148">
        <f t="shared" si="136"/>
        <v>4.42071561257177E-05</v>
      </c>
      <c r="EF216" s="148">
        <f t="shared" si="136"/>
        <v>4.094921872376582E-05</v>
      </c>
      <c r="EG216" s="148">
        <f t="shared" si="136"/>
        <v>3.7931381727387465E-05</v>
      </c>
      <c r="EH216" s="148">
        <f t="shared" si="136"/>
        <v>3.513595044277973E-05</v>
      </c>
      <c r="EI216" s="148">
        <f t="shared" si="136"/>
        <v>3.254653422303638E-05</v>
      </c>
      <c r="EJ216" s="148">
        <f t="shared" si="136"/>
        <v>3.014795036372653E-05</v>
      </c>
      <c r="EK216" s="148">
        <f t="shared" si="136"/>
        <v>2.7926135081086497E-05</v>
      </c>
      <c r="EL216" s="148">
        <f t="shared" si="136"/>
        <v>2.5868061050857187E-05</v>
      </c>
      <c r="EM216" s="148">
        <f t="shared" si="136"/>
        <v>2.3961661024266604E-05</v>
      </c>
      <c r="EN216" s="148">
        <f t="shared" si="136"/>
        <v>2.2195757073289855E-05</v>
      </c>
      <c r="EO216" s="148">
        <f t="shared" si="136"/>
        <v>2.055999505032541E-05</v>
      </c>
      <c r="EP216" s="148">
        <f aca="true" t="shared" si="137" ref="EP216:HA216">EO216/(1+$O$164)</f>
        <v>1.9044783878000463E-05</v>
      </c>
      <c r="EQ216" s="148">
        <f t="shared" si="137"/>
        <v>1.764123931313912E-05</v>
      </c>
      <c r="ER216" s="148">
        <f t="shared" si="137"/>
        <v>1.6341131855160747E-05</v>
      </c>
      <c r="ES216" s="148">
        <f t="shared" si="137"/>
        <v>1.513683849347617E-05</v>
      </c>
      <c r="ET216" s="148">
        <f t="shared" si="137"/>
        <v>1.4021298010958865E-05</v>
      </c>
      <c r="EU216" s="148">
        <f t="shared" si="137"/>
        <v>1.2987969581418889E-05</v>
      </c>
      <c r="EV216" s="148">
        <f t="shared" si="137"/>
        <v>1.2030794418321221E-05</v>
      </c>
      <c r="EW216" s="148">
        <f t="shared" si="137"/>
        <v>1.1144160249880775E-05</v>
      </c>
      <c r="EX216" s="148">
        <f t="shared" si="137"/>
        <v>1.0322868412238447E-05</v>
      </c>
      <c r="EY216" s="148">
        <f t="shared" si="137"/>
        <v>9.5621033677733E-06</v>
      </c>
      <c r="EZ216" s="148">
        <f t="shared" si="137"/>
        <v>8.857404469825522E-06</v>
      </c>
      <c r="FA216" s="148">
        <f t="shared" si="137"/>
        <v>8.204639808276241E-06</v>
      </c>
      <c r="FB216" s="148">
        <f t="shared" si="137"/>
        <v>7.599981982631219E-06</v>
      </c>
      <c r="FC216" s="148">
        <f t="shared" si="137"/>
        <v>7.039885660557014E-06</v>
      </c>
      <c r="FD216" s="148">
        <f t="shared" si="137"/>
        <v>6.521066790287036E-06</v>
      </c>
      <c r="FE216" s="148">
        <f t="shared" si="137"/>
        <v>6.040483345012144E-06</v>
      </c>
      <c r="FF216" s="148">
        <f t="shared" si="137"/>
        <v>5.595317486353034E-06</v>
      </c>
      <c r="FG216" s="148">
        <f t="shared" si="137"/>
        <v>5.1829590423322475E-06</v>
      </c>
      <c r="FH216" s="148">
        <f t="shared" si="137"/>
        <v>4.800990202971066E-06</v>
      </c>
      <c r="FI216" s="148">
        <f t="shared" si="137"/>
        <v>4.447171343775901E-06</v>
      </c>
      <c r="FJ216" s="148">
        <f t="shared" si="137"/>
        <v>4.119427893992048E-06</v>
      </c>
      <c r="FK216" s="148">
        <f t="shared" si="137"/>
        <v>3.815838172628521E-06</v>
      </c>
      <c r="FL216" s="148">
        <f t="shared" si="137"/>
        <v>3.5346221209320867E-06</v>
      </c>
      <c r="FM216" s="148">
        <f t="shared" si="137"/>
        <v>3.2741308652448228E-06</v>
      </c>
      <c r="FN216" s="148">
        <f t="shared" si="137"/>
        <v>3.0328370490483842E-06</v>
      </c>
      <c r="FO216" s="148">
        <f t="shared" si="137"/>
        <v>2.809325877508175E-06</v>
      </c>
      <c r="FP216" s="148">
        <f t="shared" si="137"/>
        <v>2.602286822008276E-06</v>
      </c>
      <c r="FQ216" s="148">
        <f t="shared" si="137"/>
        <v>2.410505936037755E-06</v>
      </c>
      <c r="FR216" s="148">
        <f t="shared" si="137"/>
        <v>2.2328587373735606E-06</v>
      </c>
      <c r="FS216" s="148">
        <f t="shared" si="137"/>
        <v>2.0683036148255983E-06</v>
      </c>
      <c r="FT216" s="148">
        <f t="shared" si="137"/>
        <v>1.9158757208853114E-06</v>
      </c>
      <c r="FU216" s="148">
        <f t="shared" si="137"/>
        <v>1.7746813144680983E-06</v>
      </c>
      <c r="FV216" s="148">
        <f t="shared" si="137"/>
        <v>1.6438925205789758E-06</v>
      </c>
      <c r="FW216" s="148">
        <f t="shared" si="137"/>
        <v>1.522742476175475E-06</v>
      </c>
      <c r="FX216" s="148">
        <f t="shared" si="137"/>
        <v>1.4105208337661633E-06</v>
      </c>
      <c r="FY216" s="148">
        <f t="shared" si="137"/>
        <v>1.3065695963807357E-06</v>
      </c>
      <c r="FZ216" s="148">
        <f t="shared" si="137"/>
        <v>1.2102792594905595E-06</v>
      </c>
      <c r="GA216" s="148">
        <f t="shared" si="137"/>
        <v>1.1210852372583297E-06</v>
      </c>
      <c r="GB216" s="148">
        <f t="shared" si="137"/>
        <v>1.0384645521626151E-06</v>
      </c>
      <c r="GC216" s="148">
        <f t="shared" si="137"/>
        <v>9.619327685873406E-07</v>
      </c>
      <c r="GD216" s="148">
        <f t="shared" si="137"/>
        <v>8.910411523967064E-07</v>
      </c>
      <c r="GE216" s="148">
        <f t="shared" si="137"/>
        <v>8.253740398410827E-07</v>
      </c>
      <c r="GF216" s="148">
        <f t="shared" si="137"/>
        <v>7.645464003668022E-07</v>
      </c>
      <c r="GG216" s="148">
        <f t="shared" si="137"/>
        <v>7.082015790397044E-07</v>
      </c>
      <c r="GH216" s="148">
        <f t="shared" si="137"/>
        <v>6.560092053454245E-07</v>
      </c>
      <c r="GI216" s="148">
        <f t="shared" si="137"/>
        <v>6.07663256104952E-07</v>
      </c>
      <c r="GJ216" s="148">
        <f t="shared" si="137"/>
        <v>5.628802611476158E-07</v>
      </c>
      <c r="GK216" s="148">
        <f t="shared" si="137"/>
        <v>5.213976412206936E-07</v>
      </c>
      <c r="GL216" s="148">
        <f t="shared" si="137"/>
        <v>4.829721683901947E-07</v>
      </c>
      <c r="GM216" s="148">
        <f t="shared" si="137"/>
        <v>4.473785399055786E-07</v>
      </c>
      <c r="GN216" s="148">
        <f t="shared" si="137"/>
        <v>4.144080571664485E-07</v>
      </c>
      <c r="GO216" s="148">
        <f t="shared" si="137"/>
        <v>3.838674020455155E-07</v>
      </c>
      <c r="GP216" s="148">
        <f t="shared" si="137"/>
        <v>3.555775033929615E-07</v>
      </c>
      <c r="GQ216" s="148">
        <f t="shared" si="137"/>
        <v>3.293724870760972E-07</v>
      </c>
      <c r="GR216" s="148">
        <f t="shared" si="137"/>
        <v>3.050987033980093E-07</v>
      </c>
      <c r="GS216" s="148">
        <f t="shared" si="137"/>
        <v>2.826138261925937E-07</v>
      </c>
      <c r="GT216" s="148">
        <f t="shared" si="137"/>
        <v>2.6178601831363504E-07</v>
      </c>
      <c r="GU216" s="148">
        <f t="shared" si="137"/>
        <v>2.42493158624887E-07</v>
      </c>
      <c r="GV216" s="148">
        <f t="shared" si="137"/>
        <v>2.246221259587104E-07</v>
      </c>
      <c r="GW216" s="148">
        <f t="shared" si="137"/>
        <v>2.0806813584485416E-07</v>
      </c>
      <c r="GX216" s="148">
        <f t="shared" si="137"/>
        <v>1.9273412612037428E-07</v>
      </c>
      <c r="GY216" s="148">
        <f t="shared" si="137"/>
        <v>1.7853018781829504E-07</v>
      </c>
      <c r="GZ216" s="148">
        <f t="shared" si="137"/>
        <v>1.6537303799810234E-07</v>
      </c>
      <c r="HA216" s="148">
        <f t="shared" si="137"/>
        <v>1.5318553142707928E-07</v>
      </c>
      <c r="HB216" s="148">
        <f aca="true" t="shared" si="138" ref="HB216:IV216">HA216/(1+$O$164)</f>
        <v>1.418962082492913E-07</v>
      </c>
      <c r="HC216" s="148">
        <f t="shared" si="138"/>
        <v>1.3143887499003692E-07</v>
      </c>
      <c r="HD216" s="148">
        <f t="shared" si="138"/>
        <v>1.217522164390382E-07</v>
      </c>
      <c r="HE216" s="148">
        <f t="shared" si="138"/>
        <v>1.1277943613669878E-07</v>
      </c>
      <c r="HF216" s="148">
        <f t="shared" si="138"/>
        <v>1.0446792335546739E-07</v>
      </c>
      <c r="HG216" s="148">
        <f t="shared" si="138"/>
        <v>9.67689446236955E-08</v>
      </c>
      <c r="HH216" s="148">
        <f t="shared" si="138"/>
        <v>8.963735798327961E-08</v>
      </c>
      <c r="HI216" s="148">
        <f t="shared" si="138"/>
        <v>8.303134830567483E-08</v>
      </c>
      <c r="HJ216" s="148">
        <f t="shared" si="138"/>
        <v>7.691218211434E-08</v>
      </c>
      <c r="HK216" s="148">
        <f t="shared" si="138"/>
        <v>7.124398047604756E-08</v>
      </c>
      <c r="HL216" s="148">
        <f t="shared" si="138"/>
        <v>6.599350862943594E-08</v>
      </c>
      <c r="HM216" s="148">
        <f t="shared" si="138"/>
        <v>6.112998111731908E-08</v>
      </c>
      <c r="HN216" s="148">
        <f t="shared" si="138"/>
        <v>5.662488128017156E-08</v>
      </c>
      <c r="HO216" s="148">
        <f t="shared" si="138"/>
        <v>5.2451794052413114E-08</v>
      </c>
      <c r="HP216" s="148">
        <f t="shared" si="138"/>
        <v>4.858625108111528E-08</v>
      </c>
      <c r="HQ216" s="148">
        <f t="shared" si="138"/>
        <v>4.500558725900382E-08</v>
      </c>
      <c r="HR216" s="148">
        <f t="shared" si="138"/>
        <v>4.168880783055699E-08</v>
      </c>
      <c r="HS216" s="148">
        <f t="shared" si="138"/>
        <v>3.861646529199359E-08</v>
      </c>
      <c r="HT216" s="148">
        <f t="shared" si="138"/>
        <v>3.5770545363369816E-08</v>
      </c>
      <c r="HU216" s="148">
        <f t="shared" si="138"/>
        <v>3.3134361364197284E-08</v>
      </c>
      <c r="HV216" s="148">
        <f t="shared" si="138"/>
        <v>3.0692456373267377E-08</v>
      </c>
      <c r="HW216" s="148">
        <f t="shared" si="138"/>
        <v>2.8430512599008798E-08</v>
      </c>
      <c r="HX216" s="148">
        <f t="shared" si="138"/>
        <v>2.6335267428983257E-08</v>
      </c>
      <c r="HY216" s="148">
        <f t="shared" si="138"/>
        <v>2.439443566628645E-08</v>
      </c>
      <c r="HZ216" s="148">
        <f t="shared" si="138"/>
        <v>2.2596637496897572E-08</v>
      </c>
      <c r="IA216" s="148">
        <f t="shared" si="138"/>
        <v>2.0931331765623373E-08</v>
      </c>
      <c r="IB216" s="148">
        <f t="shared" si="138"/>
        <v>1.9388754169408892E-08</v>
      </c>
      <c r="IC216" s="148">
        <f t="shared" si="138"/>
        <v>1.7959860005619427E-08</v>
      </c>
      <c r="ID216" s="148">
        <f t="shared" si="138"/>
        <v>1.663627113960577E-08</v>
      </c>
      <c r="IE216" s="148">
        <f t="shared" si="138"/>
        <v>1.541022688060393E-08</v>
      </c>
      <c r="IF216" s="148">
        <f t="shared" si="138"/>
        <v>1.427453847793655E-08</v>
      </c>
      <c r="IG216" s="148">
        <f t="shared" si="138"/>
        <v>1.3222546970710505E-08</v>
      </c>
      <c r="IH216" s="148">
        <f t="shared" si="138"/>
        <v>1.2248084143867808E-08</v>
      </c>
      <c r="II216" s="148">
        <f t="shared" si="138"/>
        <v>1.134543636166074E-08</v>
      </c>
      <c r="IJ216" s="148">
        <f t="shared" si="138"/>
        <v>1.0509311066493512E-08</v>
      </c>
      <c r="IK216" s="148">
        <f t="shared" si="138"/>
        <v>9.734805746700784E-09</v>
      </c>
      <c r="IL216" s="148">
        <f t="shared" si="138"/>
        <v>9.017379191309631E-09</v>
      </c>
      <c r="IM216" s="148">
        <f t="shared" si="138"/>
        <v>8.352824863241026E-09</v>
      </c>
      <c r="IN216" s="148">
        <f t="shared" si="138"/>
        <v>7.737246234828073E-09</v>
      </c>
      <c r="IO216" s="148">
        <f t="shared" si="138"/>
        <v>7.1670339410340105E-09</v>
      </c>
      <c r="IP216" s="148">
        <f t="shared" si="138"/>
        <v>6.638844616410853E-09</v>
      </c>
      <c r="IQ216" s="148">
        <f t="shared" si="138"/>
        <v>6.149581291711957E-09</v>
      </c>
      <c r="IR216" s="148">
        <f t="shared" si="138"/>
        <v>5.696375235216581E-09</v>
      </c>
      <c r="IS216" s="148">
        <f t="shared" si="138"/>
        <v>5.276569132295427E-09</v>
      </c>
      <c r="IT216" s="148">
        <f t="shared" si="138"/>
        <v>4.887701504592742E-09</v>
      </c>
      <c r="IU216" s="148">
        <f t="shared" si="138"/>
        <v>4.5274922774688685E-09</v>
      </c>
      <c r="IV216" s="148">
        <f t="shared" si="138"/>
        <v>4.193829411079843E-09</v>
      </c>
    </row>
    <row r="217" spans="1:256" ht="12" customHeight="1">
      <c r="A217" s="20"/>
      <c r="C217" s="26" t="s">
        <v>32</v>
      </c>
      <c r="D217" s="1"/>
      <c r="E217" s="1">
        <f>E214*E216</f>
        <v>1.6590015215549525</v>
      </c>
      <c r="F217" s="1">
        <f aca="true" t="shared" si="139" ref="F217:U217">F214*F216</f>
        <v>-231.5533218528716</v>
      </c>
      <c r="G217" s="1">
        <f t="shared" si="139"/>
        <v>25.588659352104692</v>
      </c>
      <c r="H217" s="1">
        <f t="shared" si="139"/>
        <v>23.305606014117586</v>
      </c>
      <c r="I217" s="1">
        <f t="shared" si="139"/>
        <v>23.872134510713785</v>
      </c>
      <c r="J217" s="1">
        <f t="shared" si="139"/>
        <v>24.12645104516721</v>
      </c>
      <c r="K217" s="1">
        <f t="shared" si="139"/>
        <v>24.418228097981054</v>
      </c>
      <c r="L217" s="1">
        <f t="shared" si="139"/>
        <v>24.593480549080102</v>
      </c>
      <c r="M217" s="1">
        <f t="shared" si="139"/>
        <v>24.66515816278471</v>
      </c>
      <c r="N217" s="1">
        <f t="shared" si="139"/>
        <v>24.645056082103473</v>
      </c>
      <c r="O217" s="1">
        <f t="shared" si="139"/>
        <v>24.543909114539797</v>
      </c>
      <c r="P217" s="1">
        <f t="shared" si="139"/>
        <v>23.417148047334127</v>
      </c>
      <c r="Q217" s="1">
        <f t="shared" si="139"/>
        <v>22.34211429449577</v>
      </c>
      <c r="R217" s="1">
        <f t="shared" si="139"/>
        <v>21.316433159978207</v>
      </c>
      <c r="S217" s="1">
        <f t="shared" si="139"/>
        <v>20.337838965212107</v>
      </c>
      <c r="T217" s="1">
        <f t="shared" si="139"/>
        <v>19.404170044334133</v>
      </c>
      <c r="U217" s="1">
        <f t="shared" si="139"/>
        <v>18.51336396917465</v>
      </c>
      <c r="V217" s="1">
        <f aca="true" t="shared" si="140" ref="V217:AK217">V214*V216</f>
        <v>17.663452993456577</v>
      </c>
      <c r="W217" s="1">
        <f t="shared" si="140"/>
        <v>16.8525597061418</v>
      </c>
      <c r="X217" s="1">
        <f t="shared" si="140"/>
        <v>16.078892884323647</v>
      </c>
      <c r="Y217" s="1">
        <f t="shared" si="140"/>
        <v>15.340743536504656</v>
      </c>
      <c r="Z217" s="1">
        <f t="shared" si="140"/>
        <v>14.63648112751942</v>
      </c>
      <c r="AA217" s="1">
        <f t="shared" si="140"/>
        <v>13.964549976763584</v>
      </c>
      <c r="AB217" s="1">
        <f t="shared" si="140"/>
        <v>13.323465821772814</v>
      </c>
      <c r="AC217" s="1">
        <f t="shared" si="140"/>
        <v>12.711812539560906</v>
      </c>
      <c r="AD217" s="1">
        <f t="shared" si="140"/>
        <v>12.12823901847461</v>
      </c>
      <c r="AE217" s="1">
        <f t="shared" si="140"/>
        <v>11.571456173655225</v>
      </c>
      <c r="AF217" s="1">
        <f t="shared" si="140"/>
        <v>11.040234099514333</v>
      </c>
      <c r="AG217" s="1">
        <f t="shared" si="140"/>
        <v>10.533399352933564</v>
      </c>
      <c r="AH217" s="1">
        <f t="shared" si="140"/>
        <v>10.04983236118717</v>
      </c>
      <c r="AI217" s="1">
        <f t="shared" si="140"/>
        <v>9.588464948861596</v>
      </c>
      <c r="AJ217" s="1">
        <f t="shared" si="140"/>
        <v>9.148277978309164</v>
      </c>
      <c r="AK217" s="1">
        <f t="shared" si="140"/>
        <v>8.728299098423754</v>
      </c>
      <c r="AL217" s="1">
        <f aca="true" t="shared" si="141" ref="AL217:BA217">AL214*AL216</f>
        <v>8.327600596765592</v>
      </c>
      <c r="AM217" s="1">
        <f t="shared" si="141"/>
        <v>7.945297350290662</v>
      </c>
      <c r="AN217" s="1">
        <f t="shared" si="141"/>
        <v>7.580544870157967</v>
      </c>
      <c r="AO217" s="1">
        <f t="shared" si="141"/>
        <v>7.232537436295702</v>
      </c>
      <c r="AP217" s="1">
        <f t="shared" si="141"/>
        <v>6.900506317605736</v>
      </c>
      <c r="AQ217" s="1">
        <f t="shared" si="141"/>
        <v>6.583718073874876</v>
      </c>
      <c r="AR217" s="1">
        <f t="shared" si="141"/>
        <v>6.281472935641948</v>
      </c>
      <c r="AS217" s="1">
        <f t="shared" si="141"/>
        <v>5.993103258441889</v>
      </c>
      <c r="AT217" s="1">
        <f t="shared" si="141"/>
        <v>5.717972048012357</v>
      </c>
      <c r="AU217" s="1">
        <f t="shared" si="141"/>
        <v>5.455471553205118</v>
      </c>
      <c r="AV217" s="1">
        <f t="shared" si="141"/>
        <v>5.2050219234940105</v>
      </c>
      <c r="AW217" s="1">
        <f t="shared" si="141"/>
        <v>4.9660699281139955</v>
      </c>
      <c r="AX217" s="1">
        <f t="shared" si="141"/>
        <v>4.738087734001939</v>
      </c>
      <c r="AY217" s="1">
        <f t="shared" si="141"/>
        <v>4.520571739839645</v>
      </c>
      <c r="AZ217" s="1">
        <f t="shared" si="141"/>
        <v>4.313041463623618</v>
      </c>
      <c r="BA217" s="1">
        <f t="shared" si="141"/>
        <v>4.115038481304231</v>
      </c>
      <c r="BB217" s="1">
        <f aca="true" t="shared" si="142" ref="BB217:BQ217">BB214*BB216</f>
        <v>3.9261254141498236</v>
      </c>
      <c r="BC217" s="1">
        <f t="shared" si="142"/>
        <v>3.7458849625988484</v>
      </c>
      <c r="BD217" s="1">
        <f t="shared" si="142"/>
        <v>3.5739189844659194</v>
      </c>
      <c r="BE217" s="1">
        <f t="shared" si="142"/>
        <v>3.40984761546554</v>
      </c>
      <c r="BF217" s="1">
        <f t="shared" si="142"/>
        <v>3.2533084301108075</v>
      </c>
      <c r="BG217" s="1">
        <f t="shared" si="142"/>
        <v>3.1039556411335503</v>
      </c>
      <c r="BH217" s="1">
        <f t="shared" si="142"/>
        <v>2.9614593356574663</v>
      </c>
      <c r="BI217" s="1">
        <f t="shared" si="142"/>
        <v>2.825504746437005</v>
      </c>
      <c r="BJ217" s="1">
        <f t="shared" si="142"/>
        <v>2.695791556552186</v>
      </c>
      <c r="BK217" s="1">
        <f t="shared" si="142"/>
        <v>2.572033236023475</v>
      </c>
      <c r="BL217" s="1">
        <f t="shared" si="142"/>
        <v>2.45395640888132</v>
      </c>
      <c r="BM217" s="1">
        <f t="shared" si="142"/>
        <v>2.3413002492922472</v>
      </c>
      <c r="BN217" s="1">
        <f t="shared" si="142"/>
        <v>2.233815905407571</v>
      </c>
      <c r="BO217" s="1">
        <f t="shared" si="142"/>
        <v>2.1312659496620547</v>
      </c>
      <c r="BP217" s="1">
        <f t="shared" si="142"/>
        <v>2.0334238543082335</v>
      </c>
      <c r="BQ217" s="1">
        <f t="shared" si="142"/>
        <v>1.9400734910278987</v>
      </c>
      <c r="BR217" s="1">
        <f aca="true" t="shared" si="143" ref="BR217:CG217">BR214*BR216</f>
        <v>1.8510086535153998</v>
      </c>
      <c r="BS217" s="1">
        <f t="shared" si="143"/>
        <v>1.7660326019781816</v>
      </c>
      <c r="BT217" s="1">
        <f t="shared" si="143"/>
        <v>1.6849576285483734</v>
      </c>
      <c r="BU217" s="1">
        <f t="shared" si="143"/>
        <v>1.6076046426454553</v>
      </c>
      <c r="BV217" s="1">
        <f t="shared" si="143"/>
        <v>1.5338027753740795</v>
      </c>
      <c r="BW217" s="1">
        <f t="shared" si="143"/>
        <v>1.4633890020831855</v>
      </c>
      <c r="BX217" s="1">
        <f t="shared" si="143"/>
        <v>1.3962077822526617</v>
      </c>
      <c r="BY217" s="1">
        <f t="shared" si="143"/>
        <v>1.33211071591208</v>
      </c>
      <c r="BZ217" s="1">
        <f t="shared" si="143"/>
        <v>1.270956215832546</v>
      </c>
      <c r="CA217" s="1">
        <f t="shared" si="143"/>
        <v>1.21260919476756</v>
      </c>
      <c r="CB217" s="1">
        <f t="shared" si="143"/>
        <v>1.1569407670520135</v>
      </c>
      <c r="CC217" s="1">
        <f t="shared" si="143"/>
        <v>1.1038279639001707</v>
      </c>
      <c r="CD217" s="1">
        <f t="shared" si="143"/>
        <v>1.0531534617737424</v>
      </c>
      <c r="CE217" s="1">
        <f t="shared" si="143"/>
        <v>1.0048053232200287</v>
      </c>
      <c r="CF217" s="1">
        <f t="shared" si="143"/>
        <v>0.9586767496076599</v>
      </c>
      <c r="CG217" s="1">
        <f t="shared" si="143"/>
        <v>0.9146658452137352</v>
      </c>
      <c r="CH217" s="1">
        <f aca="true" t="shared" si="144" ref="CH217:CW217">CH214*CH216</f>
        <v>0.8726753921412427</v>
      </c>
      <c r="CI217" s="1">
        <f t="shared" si="144"/>
        <v>0.8326126355695649</v>
      </c>
      <c r="CJ217" s="1">
        <f t="shared" si="144"/>
        <v>0.7943890788636967</v>
      </c>
      <c r="CK217" s="1">
        <f t="shared" si="144"/>
        <v>0.7579202880895841</v>
      </c>
      <c r="CL217" s="1">
        <f t="shared" si="144"/>
        <v>0.7231257055037668</v>
      </c>
      <c r="CM217" s="1">
        <f t="shared" si="144"/>
        <v>0.6899284716053331</v>
      </c>
      <c r="CN217" s="1">
        <f t="shared" si="144"/>
        <v>0.6582552553571082</v>
      </c>
      <c r="CO217" s="1">
        <f t="shared" si="144"/>
        <v>0.628036092201043</v>
      </c>
      <c r="CP217" s="1">
        <f t="shared" si="144"/>
        <v>0.5992042295099888</v>
      </c>
      <c r="CQ217" s="1">
        <f t="shared" si="144"/>
        <v>0.5716959791344663</v>
      </c>
      <c r="CR217" s="1">
        <f t="shared" si="144"/>
        <v>0.5454505767187144</v>
      </c>
      <c r="CS217" s="1">
        <f t="shared" si="144"/>
        <v>0.5204100474752515</v>
      </c>
      <c r="CT217" s="1">
        <f t="shared" si="144"/>
        <v>0.4965190781214579</v>
      </c>
      <c r="CU217" s="1">
        <f t="shared" si="144"/>
        <v>0.47372489469528617</v>
      </c>
      <c r="CV217" s="1">
        <f t="shared" si="144"/>
        <v>0.45197714598020694</v>
      </c>
      <c r="CW217" s="1">
        <f t="shared" si="144"/>
        <v>0.4312277922818778</v>
      </c>
      <c r="CX217" s="1">
        <f aca="true" t="shared" si="145" ref="CX217:DM217">CX214*CX216</f>
        <v>0.4114309993108498</v>
      </c>
      <c r="CY217" s="1">
        <f t="shared" si="145"/>
        <v>0.3925430369369034</v>
      </c>
      <c r="CZ217" s="1">
        <f t="shared" si="145"/>
        <v>0.37452218259136805</v>
      </c>
      <c r="DA217" s="1">
        <f t="shared" si="145"/>
        <v>0.3573286291040446</v>
      </c>
      <c r="DB217" s="1">
        <f t="shared" si="145"/>
        <v>0.3409243967711479</v>
      </c>
      <c r="DC217" s="1">
        <f t="shared" si="145"/>
        <v>0.3252732494600318</v>
      </c>
      <c r="DD217" s="1">
        <f t="shared" si="145"/>
        <v>0.3103406145653758</v>
      </c>
      <c r="DE217" s="1">
        <f t="shared" si="145"/>
        <v>0.2960935066400211</v>
      </c>
      <c r="DF217" s="1">
        <f t="shared" si="145"/>
        <v>0.28250045453175937</v>
      </c>
      <c r="DG217" s="1">
        <f t="shared" si="145"/>
        <v>0.26953143186512457</v>
      </c>
      <c r="DH217" s="1">
        <f t="shared" si="145"/>
        <v>0.2571577907146238</v>
      </c>
      <c r="DI217" s="1">
        <f t="shared" si="145"/>
        <v>0.24535219832289637</v>
      </c>
      <c r="DJ217" s="1">
        <f t="shared" si="145"/>
        <v>0.2340885767240129</v>
      </c>
      <c r="DK217" s="1">
        <f t="shared" si="145"/>
        <v>0.22334204513854708</v>
      </c>
      <c r="DL217" s="1">
        <f t="shared" si="145"/>
        <v>0.21308886501317226</v>
      </c>
      <c r="DM217" s="1">
        <f t="shared" si="145"/>
        <v>0.20330638758337882</v>
      </c>
      <c r="DN217" s="1">
        <f aca="true" t="shared" si="146" ref="DN217:EC217">DN214*DN216</f>
        <v>0.19397300384348096</v>
      </c>
      <c r="DO217" s="1">
        <f t="shared" si="146"/>
        <v>0.1850680968133985</v>
      </c>
      <c r="DP217" s="1">
        <f t="shared" si="146"/>
        <v>0.1765719959967745</v>
      </c>
      <c r="DQ217" s="1">
        <f t="shared" si="146"/>
        <v>0.16846593392982775</v>
      </c>
      <c r="DR217" s="1">
        <f t="shared" si="146"/>
        <v>0.16073200472495944</v>
      </c>
      <c r="DS217" s="1">
        <f t="shared" si="146"/>
        <v>0.15335312451753907</v>
      </c>
      <c r="DT217" s="1">
        <f t="shared" si="146"/>
        <v>0.14631299372849768</v>
      </c>
      <c r="DU217" s="1">
        <f t="shared" si="146"/>
        <v>0.13959606105936895</v>
      </c>
      <c r="DV217" s="1">
        <f t="shared" si="146"/>
        <v>0.13318748914024534</v>
      </c>
      <c r="DW217" s="1">
        <f t="shared" si="146"/>
        <v>0.1270731217547662</v>
      </c>
      <c r="DX217" s="1">
        <f t="shared" si="146"/>
        <v>0.12123945256974074</v>
      </c>
      <c r="DY217" s="1">
        <f t="shared" si="146"/>
        <v>0.11567359530033024</v>
      </c>
      <c r="DZ217" s="1">
        <f t="shared" si="146"/>
        <v>0.11036325524488626</v>
      </c>
      <c r="EA217" s="1">
        <f t="shared" si="146"/>
        <v>0.10529670212656687</v>
      </c>
      <c r="EB217" s="1">
        <f t="shared" si="146"/>
        <v>0.1004627441817388</v>
      </c>
      <c r="EC217" s="1">
        <f t="shared" si="146"/>
        <v>0.09585070343792884</v>
      </c>
      <c r="ED217" s="1">
        <f aca="true" t="shared" si="147" ref="ED217:ES217">ED214*ED216</f>
        <v>0.09145039212671414</v>
      </c>
      <c r="EE217" s="1">
        <f t="shared" si="147"/>
        <v>0.08725209017944892</v>
      </c>
      <c r="EF217" s="1">
        <f t="shared" si="147"/>
        <v>0.08324652375611659</v>
      </c>
      <c r="EG217" s="1">
        <f t="shared" si="147"/>
        <v>0.07942484475987889</v>
      </c>
      <c r="EH217" s="1">
        <f t="shared" si="147"/>
        <v>0.07577861129207036</v>
      </c>
      <c r="EI217" s="1">
        <f t="shared" si="147"/>
        <v>0.07229976900446447</v>
      </c>
      <c r="EJ217" s="1">
        <f t="shared" si="147"/>
        <v>0.06898063330761925</v>
      </c>
      <c r="EK217" s="1">
        <f t="shared" si="147"/>
        <v>0.0658138723960018</v>
      </c>
      <c r="EL217" s="1">
        <f t="shared" si="147"/>
        <v>0.06279249105239479</v>
      </c>
      <c r="EM217" s="1">
        <f t="shared" si="147"/>
        <v>0.05990981519580986</v>
      </c>
      <c r="EN217" s="1">
        <f t="shared" si="147"/>
        <v>0.05715947713877493</v>
      </c>
      <c r="EO217" s="1">
        <f t="shared" si="147"/>
        <v>0.054535401521429584</v>
      </c>
      <c r="EP217" s="1">
        <f t="shared" si="147"/>
        <v>0.0520317918913575</v>
      </c>
      <c r="EQ217" s="1">
        <f t="shared" si="147"/>
        <v>0.04964311789951166</v>
      </c>
      <c r="ER217" s="1">
        <f t="shared" si="147"/>
        <v>0.047364103083948554</v>
      </c>
      <c r="ES217" s="1">
        <f t="shared" si="147"/>
        <v>0.04518971321438642</v>
      </c>
      <c r="ET217" s="1">
        <f aca="true" t="shared" si="148" ref="ET217:FI217">ET214*ET216</f>
        <v>0.04311514517184113</v>
      </c>
      <c r="EU217" s="1">
        <f t="shared" si="148"/>
        <v>0.0411358163387755</v>
      </c>
      <c r="EV217" s="1">
        <f t="shared" si="148"/>
        <v>0.039247354476325186</v>
      </c>
      <c r="EW217" s="1">
        <f t="shared" si="148"/>
        <v>0.03744558806624074</v>
      </c>
      <c r="EX217" s="1">
        <f t="shared" si="148"/>
        <v>0.03572653709621141</v>
      </c>
      <c r="EY217" s="1">
        <f t="shared" si="148"/>
        <v>0.034086404268216096</v>
      </c>
      <c r="EZ217" s="1">
        <f t="shared" si="148"/>
        <v>0.03252156661048102</v>
      </c>
      <c r="FA217" s="1">
        <f t="shared" si="148"/>
        <v>0.031028567474515437</v>
      </c>
      <c r="FB217" s="1">
        <f t="shared" si="148"/>
        <v>0.02960410889954717</v>
      </c>
      <c r="FC217" s="1">
        <f t="shared" si="148"/>
        <v>0.028245044327491448</v>
      </c>
      <c r="FD217" s="1">
        <f t="shared" si="148"/>
        <v>0.026948371652360727</v>
      </c>
      <c r="FE217" s="1">
        <f t="shared" si="148"/>
        <v>0.02571122658876199</v>
      </c>
      <c r="FF217" s="1">
        <f t="shared" si="148"/>
        <v>0.02453087634483291</v>
      </c>
      <c r="FG217" s="1">
        <f t="shared" si="148"/>
        <v>0.023404713585640648</v>
      </c>
      <c r="FH217" s="1">
        <f t="shared" si="148"/>
        <v>0.022330250673708786</v>
      </c>
      <c r="FI217" s="1">
        <f t="shared" si="148"/>
        <v>0.021305114173949955</v>
      </c>
      <c r="FJ217" s="1">
        <f aca="true" t="shared" si="149" ref="FJ217:FY217">FJ214*FJ216</f>
        <v>0.02032703961086589</v>
      </c>
      <c r="FK217" s="1">
        <f t="shared" si="149"/>
        <v>0.019393866466433776</v>
      </c>
      <c r="FL217" s="1">
        <f t="shared" si="149"/>
        <v>0.018503533407629467</v>
      </c>
      <c r="FM217" s="1">
        <f t="shared" si="149"/>
        <v>0.017654073733045464</v>
      </c>
      <c r="FN217" s="1">
        <f t="shared" si="149"/>
        <v>0.016843611028545393</v>
      </c>
      <c r="FO217" s="1">
        <f t="shared" si="149"/>
        <v>0.01607035502235859</v>
      </c>
      <c r="FP217" s="1">
        <f t="shared" si="149"/>
        <v>0.015332597630458866</v>
      </c>
      <c r="FQ217" s="1">
        <f t="shared" si="149"/>
        <v>0.014628709183491932</v>
      </c>
      <c r="FR217" s="1">
        <f t="shared" si="149"/>
        <v>0.013957134826916915</v>
      </c>
      <c r="FS217" s="1">
        <f t="shared" si="149"/>
        <v>0.013316391086410069</v>
      </c>
      <c r="FT217" s="1">
        <f t="shared" si="149"/>
        <v>0.01270506259094384</v>
      </c>
      <c r="FU217" s="1">
        <f t="shared" si="149"/>
        <v>0.012121798946302727</v>
      </c>
      <c r="FV217" s="1">
        <f t="shared" si="149"/>
        <v>0.011565311752129676</v>
      </c>
      <c r="FW217" s="1">
        <f t="shared" si="149"/>
        <v>0.011034371755913827</v>
      </c>
      <c r="FX217" s="1">
        <f t="shared" si="149"/>
        <v>0.010527806137632907</v>
      </c>
      <c r="FY217" s="1">
        <f t="shared" si="149"/>
        <v>0.010044495919052184</v>
      </c>
      <c r="FZ217" s="1">
        <f aca="true" t="shared" si="150" ref="FZ217:GO217">FZ214*FZ216</f>
        <v>0.009583373491957243</v>
      </c>
      <c r="GA217" s="1">
        <f t="shared" si="150"/>
        <v>0.00914342025986059</v>
      </c>
      <c r="GB217" s="1">
        <f t="shared" si="150"/>
        <v>0.008723664387972715</v>
      </c>
      <c r="GC217" s="1">
        <f t="shared" si="150"/>
        <v>0.008323178656467409</v>
      </c>
      <c r="GD217" s="1">
        <f t="shared" si="150"/>
        <v>0.007941078412299336</v>
      </c>
      <c r="GE217" s="1">
        <f t="shared" si="150"/>
        <v>0.007576519615049483</v>
      </c>
      <c r="GF217" s="1">
        <f t="shared" si="150"/>
        <v>0.0072286969724819</v>
      </c>
      <c r="GG217" s="1">
        <f t="shared" si="150"/>
        <v>0.006896842161693223</v>
      </c>
      <c r="GH217" s="1">
        <f t="shared" si="150"/>
        <v>0.006580222131925637</v>
      </c>
      <c r="GI217" s="1">
        <f t="shared" si="150"/>
        <v>0.006278137485294239</v>
      </c>
      <c r="GJ217" s="1">
        <f t="shared" si="150"/>
        <v>0.005989920931851926</v>
      </c>
      <c r="GK217" s="1">
        <f t="shared" si="150"/>
        <v>0.005714935815579115</v>
      </c>
      <c r="GL217" s="1">
        <f t="shared" si="150"/>
        <v>0.00545257470804229</v>
      </c>
      <c r="GM217" s="1">
        <f t="shared" si="150"/>
        <v>0.005202258066614832</v>
      </c>
      <c r="GN217" s="1">
        <f t="shared" si="150"/>
        <v>0.004963432954296201</v>
      </c>
      <c r="GO217" s="1">
        <f t="shared" si="150"/>
        <v>0.00473557181830163</v>
      </c>
      <c r="GP217" s="1">
        <f aca="true" t="shared" si="151" ref="GP217:HE217">GP214*GP216</f>
        <v>0.0045181713247242775</v>
      </c>
      <c r="GQ217" s="1">
        <f t="shared" si="151"/>
        <v>0.0043107512466956915</v>
      </c>
      <c r="GR217" s="1">
        <f t="shared" si="151"/>
        <v>0.0041128534035885555</v>
      </c>
      <c r="GS217" s="1">
        <f t="shared" si="151"/>
        <v>0.003924040648918493</v>
      </c>
      <c r="GT217" s="1">
        <f t="shared" si="151"/>
        <v>0.003743895904709244</v>
      </c>
      <c r="GU217" s="1">
        <f t="shared" si="151"/>
        <v>0.0035720212401881756</v>
      </c>
      <c r="GV217" s="1">
        <f t="shared" si="151"/>
        <v>0.003408036992777015</v>
      </c>
      <c r="GW217" s="1">
        <f t="shared" si="151"/>
        <v>0.003251580929436111</v>
      </c>
      <c r="GX217" s="1">
        <f t="shared" si="151"/>
        <v>0.003102307446509684</v>
      </c>
      <c r="GY217" s="1">
        <f t="shared" si="151"/>
        <v>0.0029598868063045515</v>
      </c>
      <c r="GZ217" s="1">
        <f t="shared" si="151"/>
        <v>0.0028240044087159788</v>
      </c>
      <c r="HA217" s="1">
        <f t="shared" si="151"/>
        <v>0.002694360096291707</v>
      </c>
      <c r="HB217" s="1">
        <f t="shared" si="151"/>
        <v>0.002570667491199084</v>
      </c>
      <c r="HC217" s="1">
        <f t="shared" si="151"/>
        <v>0.0024526533626306854</v>
      </c>
      <c r="HD217" s="1">
        <f t="shared" si="151"/>
        <v>0.002340057023251064</v>
      </c>
      <c r="HE217" s="1">
        <f t="shared" si="151"/>
        <v>0.0022326297533514</v>
      </c>
      <c r="HF217" s="1">
        <f aca="true" t="shared" si="152" ref="HF217:HU217">HF214*HF216</f>
        <v>0.002130134251440048</v>
      </c>
      <c r="HG217" s="1">
        <f t="shared" si="152"/>
        <v>0.002032344110055354</v>
      </c>
      <c r="HH217" s="1">
        <f t="shared" si="152"/>
        <v>0.001939043315642839</v>
      </c>
      <c r="HI217" s="1">
        <f t="shared" si="152"/>
        <v>0.0018500257713920153</v>
      </c>
      <c r="HJ217" s="1">
        <f t="shared" si="152"/>
        <v>0.0017650948419787875</v>
      </c>
      <c r="HK217" s="1">
        <f t="shared" si="152"/>
        <v>0.0016840629192078113</v>
      </c>
      <c r="HL217" s="1">
        <f t="shared" si="152"/>
        <v>0.0016067510075953295</v>
      </c>
      <c r="HM217" s="1">
        <f t="shared" si="152"/>
        <v>0.0015329883289770566</v>
      </c>
      <c r="HN217" s="1">
        <f t="shared" si="152"/>
        <v>0.0014626119452677167</v>
      </c>
      <c r="HO217" s="1">
        <f t="shared" si="152"/>
        <v>0.0013954663985389223</v>
      </c>
      <c r="HP217" s="1">
        <f t="shared" si="152"/>
        <v>0.0013314033676203511</v>
      </c>
      <c r="HQ217" s="1">
        <f t="shared" si="152"/>
        <v>0.0012702813404656616</v>
      </c>
      <c r="HR217" s="1">
        <f t="shared" si="152"/>
        <v>0.001211965301559429</v>
      </c>
      <c r="HS217" s="1">
        <f t="shared" si="152"/>
        <v>0.0011563264336745915</v>
      </c>
      <c r="HT217" s="1">
        <f t="shared" si="152"/>
        <v>0.0011032418333216075</v>
      </c>
      <c r="HU217" s="1">
        <f t="shared" si="152"/>
        <v>0.0010525942392607664</v>
      </c>
      <c r="HV217" s="1">
        <f aca="true" t="shared" si="153" ref="HV217:IK217">HV214*HV216</f>
        <v>0.0010042717734779461</v>
      </c>
      <c r="HW217" s="1">
        <f t="shared" si="153"/>
        <v>0.0009581676940516499</v>
      </c>
      <c r="HX217" s="1">
        <f t="shared" si="153"/>
        <v>0.0009141801593654142</v>
      </c>
      <c r="HY217" s="1">
        <f t="shared" si="153"/>
        <v>0.0008722120031447488</v>
      </c>
      <c r="HZ217" s="1">
        <f t="shared" si="153"/>
        <v>0.0008321705198216714</v>
      </c>
      <c r="IA217" s="1">
        <f t="shared" si="153"/>
        <v>0.0007939672597527245</v>
      </c>
      <c r="IB217" s="1">
        <f t="shared" si="153"/>
        <v>0.0007575178338381144</v>
      </c>
      <c r="IC217" s="1">
        <f t="shared" si="153"/>
        <v>0.0007227417271103917</v>
      </c>
      <c r="ID217" s="1">
        <f t="shared" si="153"/>
        <v>0.0006895621208808955</v>
      </c>
      <c r="IE217" s="1">
        <f t="shared" si="153"/>
        <v>0.0006579057230510941</v>
      </c>
      <c r="IF217" s="1">
        <f t="shared" si="153"/>
        <v>0.0006277026062139877</v>
      </c>
      <c r="IG217" s="1">
        <f t="shared" si="153"/>
        <v>0.0005988860531879473</v>
      </c>
      <c r="IH217" s="1">
        <f t="shared" si="153"/>
        <v>0.0005713924096417816</v>
      </c>
      <c r="II217" s="1">
        <f t="shared" si="153"/>
        <v>0.0005451609434854881</v>
      </c>
      <c r="IJ217" s="1">
        <f t="shared" si="153"/>
        <v>0.0005201337107160893</v>
      </c>
      <c r="IK217" s="1">
        <f t="shared" si="153"/>
        <v>0.0004962554274222142</v>
      </c>
      <c r="IL217" s="1">
        <f aca="true" t="shared" si="154" ref="IL217:IV217">IL214*IL216</f>
        <v>0.0004734733476646905</v>
      </c>
      <c r="IM217" s="1">
        <f t="shared" si="154"/>
        <v>0.00045173714696339037</v>
      </c>
      <c r="IN217" s="1">
        <f t="shared" si="154"/>
        <v>0.0004309988111329589</v>
      </c>
      <c r="IO217" s="1">
        <f t="shared" si="154"/>
        <v>0.0004112125302218689</v>
      </c>
      <c r="IP217" s="1">
        <f t="shared" si="154"/>
        <v>0.000392334597320518</v>
      </c>
      <c r="IQ217" s="1">
        <f t="shared" si="154"/>
        <v>0.0003743233120148414</v>
      </c>
      <c r="IR217" s="1">
        <f t="shared" si="154"/>
        <v>0.0003571388882721726</v>
      </c>
      <c r="IS217" s="1">
        <f t="shared" si="154"/>
        <v>0.00034074336655587795</v>
      </c>
      <c r="IT217" s="1">
        <f t="shared" si="154"/>
        <v>0.0003251005299746298</v>
      </c>
      <c r="IU217" s="1">
        <f t="shared" si="154"/>
        <v>0.0003101758242810962</v>
      </c>
      <c r="IV217" s="1">
        <f t="shared" si="154"/>
        <v>0.0002959362815433289</v>
      </c>
    </row>
    <row r="218" spans="1:17" ht="12" customHeight="1">
      <c r="A218" s="20">
        <v>30</v>
      </c>
      <c r="C218" s="51" t="s">
        <v>33</v>
      </c>
      <c r="D218" s="22">
        <f>SUM(E217:$IV217)/D216</f>
        <v>499.9471477942424</v>
      </c>
      <c r="E218" s="22">
        <f>SUM(F217:$IV217)/E216</f>
        <v>537.393501482399</v>
      </c>
      <c r="F218" s="22">
        <f>SUM(G217:$IV217)/F216</f>
        <v>849.1689094258169</v>
      </c>
      <c r="G218" s="22">
        <f>SUM(H217:$IV217)/G216</f>
        <v>884.3507440566895</v>
      </c>
      <c r="H218" s="22">
        <f>SUM(I217:$IV217)/H216</f>
        <v>923.1174876500978</v>
      </c>
      <c r="I218" s="22">
        <f>SUM(J217:$IV217)/I216</f>
        <v>961.6251415133343</v>
      </c>
      <c r="J218" s="22">
        <f>SUM(K217:$IV217)/J216</f>
        <v>1000.014352311037</v>
      </c>
      <c r="K218" s="22">
        <f>SUM(L217:$IV217)/K216</f>
        <v>1037.9274693822883</v>
      </c>
      <c r="L218" s="22">
        <f>SUM(M217:$IV217)/L216</f>
        <v>1075.2207038320478</v>
      </c>
      <c r="M218" s="22">
        <f>SUM(N217:$IV217)/M216</f>
        <v>1111.7356495389051</v>
      </c>
      <c r="N218" s="22">
        <f>SUM(O217:$IV217)/N216</f>
        <v>1147.2980248826748</v>
      </c>
      <c r="O218" s="22">
        <f>SUM(P217:$IV217)/O216</f>
        <v>1181.716311503708</v>
      </c>
      <c r="P218" s="22">
        <f>SUM(Q217:$IV217)/P216</f>
        <v>1217.1670946808729</v>
      </c>
      <c r="Q218" s="22"/>
    </row>
    <row r="219" spans="1:23" s="78" customFormat="1" ht="12" customHeight="1" thickBot="1">
      <c r="A219" s="77">
        <v>31</v>
      </c>
      <c r="B219" s="78" t="s">
        <v>174</v>
      </c>
      <c r="C219" s="91"/>
      <c r="D219" s="93">
        <f>D218+D23-(D144-D22)</f>
        <v>1499.9471477942418</v>
      </c>
      <c r="E219" s="93">
        <f aca="true" t="shared" si="155" ref="E219:P219">E218+E23-(E144-E22)</f>
        <v>1567.3935014823978</v>
      </c>
      <c r="F219" s="93">
        <f t="shared" si="155"/>
        <v>2114.168909425816</v>
      </c>
      <c r="G219" s="93">
        <f t="shared" si="155"/>
        <v>2214.350744056688</v>
      </c>
      <c r="H219" s="93">
        <f t="shared" si="155"/>
        <v>2293.017487650097</v>
      </c>
      <c r="I219" s="93">
        <f t="shared" si="155"/>
        <v>2372.622141513333</v>
      </c>
      <c r="J219" s="93">
        <f t="shared" si="155"/>
        <v>2453.3412623110353</v>
      </c>
      <c r="K219" s="93">
        <f t="shared" si="155"/>
        <v>2534.854186682287</v>
      </c>
      <c r="L219" s="93">
        <f t="shared" si="155"/>
        <v>2617.0552226510454</v>
      </c>
      <c r="M219" s="93">
        <f t="shared" si="155"/>
        <v>2699.8252039224735</v>
      </c>
      <c r="N219" s="93">
        <f t="shared" si="155"/>
        <v>2783.03026589775</v>
      </c>
      <c r="O219" s="93">
        <f t="shared" si="155"/>
        <v>2866.5205197492355</v>
      </c>
      <c r="P219" s="93">
        <f t="shared" si="155"/>
        <v>2952.5154291737645</v>
      </c>
      <c r="Q219" s="109"/>
      <c r="R219" s="82"/>
      <c r="S219" s="82"/>
      <c r="T219" s="82"/>
      <c r="U219" s="82"/>
      <c r="V219" s="82"/>
      <c r="W219" s="82"/>
    </row>
    <row r="220" spans="1:17" ht="12.75" customHeight="1">
      <c r="A220" s="20"/>
      <c r="C220" s="66"/>
      <c r="D220" s="67"/>
      <c r="E220" s="67"/>
      <c r="F220" s="148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105"/>
    </row>
    <row r="221" spans="1:17" ht="12.75" customHeight="1">
      <c r="A221" s="20"/>
      <c r="C221" s="66"/>
      <c r="D221" s="67" t="s">
        <v>175</v>
      </c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105"/>
    </row>
    <row r="222" spans="2:13" ht="12.75" customHeight="1">
      <c r="B222" s="16"/>
      <c r="M222" s="113"/>
    </row>
    <row r="223" spans="1:38" s="82" customFormat="1" ht="12" customHeight="1">
      <c r="A223" s="65"/>
      <c r="C223" s="6"/>
      <c r="D223" s="103"/>
      <c r="E223" s="138"/>
      <c r="F223" s="138"/>
      <c r="G223" s="15"/>
      <c r="H223" s="138"/>
      <c r="I223" s="21" t="s">
        <v>314</v>
      </c>
      <c r="J223" s="138"/>
      <c r="K223" s="138"/>
      <c r="L223" s="138"/>
      <c r="M223" s="138"/>
      <c r="N223" s="138"/>
      <c r="O223" s="138"/>
      <c r="P223" s="138"/>
      <c r="Q223" s="138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</row>
    <row r="224" spans="1:38" s="82" customFormat="1" ht="12" customHeight="1">
      <c r="A224" s="65"/>
      <c r="B224" s="82" t="s">
        <v>122</v>
      </c>
      <c r="C224" s="6"/>
      <c r="D224" s="103"/>
      <c r="E224" s="82" t="s">
        <v>123</v>
      </c>
      <c r="F224" s="138"/>
      <c r="G224" s="15"/>
      <c r="H224" s="138"/>
      <c r="I224" s="138"/>
      <c r="J224" s="138"/>
      <c r="K224" s="138"/>
      <c r="L224" s="138"/>
      <c r="M224" s="138"/>
      <c r="N224" s="138"/>
      <c r="O224" s="138"/>
      <c r="P224" s="138"/>
      <c r="Q224" s="138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</row>
    <row r="225" spans="1:17" ht="12" customHeight="1" thickBot="1">
      <c r="A225" s="20"/>
      <c r="B225"/>
      <c r="C225"/>
      <c r="D225" s="79">
        <v>0</v>
      </c>
      <c r="E225" s="79">
        <v>1</v>
      </c>
      <c r="F225" s="79">
        <f aca="true" t="shared" si="156" ref="F225:Q225">E225+1</f>
        <v>2</v>
      </c>
      <c r="G225" s="206">
        <f t="shared" si="156"/>
        <v>3</v>
      </c>
      <c r="H225" s="79">
        <f t="shared" si="156"/>
        <v>4</v>
      </c>
      <c r="I225" s="127">
        <f t="shared" si="156"/>
        <v>5</v>
      </c>
      <c r="J225" s="127">
        <f t="shared" si="156"/>
        <v>6</v>
      </c>
      <c r="K225" s="127">
        <f t="shared" si="156"/>
        <v>7</v>
      </c>
      <c r="L225" s="127">
        <f t="shared" si="156"/>
        <v>8</v>
      </c>
      <c r="M225" s="137">
        <f t="shared" si="156"/>
        <v>9</v>
      </c>
      <c r="N225" s="127">
        <f t="shared" si="156"/>
        <v>10</v>
      </c>
      <c r="O225" s="127">
        <f t="shared" si="156"/>
        <v>11</v>
      </c>
      <c r="P225" s="127">
        <f t="shared" si="156"/>
        <v>12</v>
      </c>
      <c r="Q225" s="127">
        <f t="shared" si="156"/>
        <v>13</v>
      </c>
    </row>
    <row r="226" spans="1:17" ht="12" customHeight="1">
      <c r="A226" s="20">
        <v>1</v>
      </c>
      <c r="C226" s="4" t="s">
        <v>124</v>
      </c>
      <c r="D226" s="52">
        <f>D130</f>
        <v>1</v>
      </c>
      <c r="E226" s="52">
        <f aca="true" t="shared" si="157" ref="E226:Q226">D226</f>
        <v>1</v>
      </c>
      <c r="F226" s="52">
        <f t="shared" si="157"/>
        <v>1</v>
      </c>
      <c r="G226" s="196">
        <f t="shared" si="157"/>
        <v>1</v>
      </c>
      <c r="H226" s="52">
        <f t="shared" si="157"/>
        <v>1</v>
      </c>
      <c r="I226" s="52">
        <f t="shared" si="157"/>
        <v>1</v>
      </c>
      <c r="J226" s="52">
        <f t="shared" si="157"/>
        <v>1</v>
      </c>
      <c r="K226" s="52">
        <f t="shared" si="157"/>
        <v>1</v>
      </c>
      <c r="L226" s="52">
        <f t="shared" si="157"/>
        <v>1</v>
      </c>
      <c r="M226" s="9">
        <f t="shared" si="157"/>
        <v>1</v>
      </c>
      <c r="N226" s="52">
        <f t="shared" si="157"/>
        <v>1</v>
      </c>
      <c r="O226" s="52">
        <f t="shared" si="157"/>
        <v>1</v>
      </c>
      <c r="P226" s="9">
        <f t="shared" si="157"/>
        <v>1</v>
      </c>
      <c r="Q226" s="9">
        <f t="shared" si="157"/>
        <v>1</v>
      </c>
    </row>
    <row r="227" spans="1:17" ht="12" customHeight="1">
      <c r="A227" s="20">
        <v>2</v>
      </c>
      <c r="C227" s="4" t="s">
        <v>37</v>
      </c>
      <c r="D227" s="228">
        <f>D131</f>
        <v>0.05</v>
      </c>
      <c r="E227" s="13">
        <f aca="true" t="shared" si="158" ref="E227:Q227">D227</f>
        <v>0.05</v>
      </c>
      <c r="F227" s="13">
        <f t="shared" si="158"/>
        <v>0.05</v>
      </c>
      <c r="G227" s="64">
        <f t="shared" si="158"/>
        <v>0.05</v>
      </c>
      <c r="H227" s="13">
        <f t="shared" si="158"/>
        <v>0.05</v>
      </c>
      <c r="I227" s="13">
        <f t="shared" si="158"/>
        <v>0.05</v>
      </c>
      <c r="J227" s="13">
        <f t="shared" si="158"/>
        <v>0.05</v>
      </c>
      <c r="K227" s="13">
        <f t="shared" si="158"/>
        <v>0.05</v>
      </c>
      <c r="L227" s="13">
        <f t="shared" si="158"/>
        <v>0.05</v>
      </c>
      <c r="M227" s="64">
        <f t="shared" si="158"/>
        <v>0.05</v>
      </c>
      <c r="N227" s="13">
        <f t="shared" si="158"/>
        <v>0.05</v>
      </c>
      <c r="O227" s="13">
        <f t="shared" si="158"/>
        <v>0.05</v>
      </c>
      <c r="P227" s="13">
        <f t="shared" si="158"/>
        <v>0.05</v>
      </c>
      <c r="Q227" s="13">
        <f t="shared" si="158"/>
        <v>0.05</v>
      </c>
    </row>
    <row r="228" spans="1:17" ht="12" customHeight="1">
      <c r="A228" s="20">
        <v>3</v>
      </c>
      <c r="C228" s="4" t="s">
        <v>125</v>
      </c>
      <c r="D228" s="228">
        <f>D132</f>
        <v>0.04</v>
      </c>
      <c r="E228" s="13">
        <f aca="true" t="shared" si="159" ref="E228:Q228">D228</f>
        <v>0.04</v>
      </c>
      <c r="F228" s="13">
        <f t="shared" si="159"/>
        <v>0.04</v>
      </c>
      <c r="G228" s="64">
        <f t="shared" si="159"/>
        <v>0.04</v>
      </c>
      <c r="H228" s="13">
        <f t="shared" si="159"/>
        <v>0.04</v>
      </c>
      <c r="I228" s="13">
        <f t="shared" si="159"/>
        <v>0.04</v>
      </c>
      <c r="J228" s="13">
        <f t="shared" si="159"/>
        <v>0.04</v>
      </c>
      <c r="K228" s="13">
        <f t="shared" si="159"/>
        <v>0.04</v>
      </c>
      <c r="L228" s="13">
        <f t="shared" si="159"/>
        <v>0.04</v>
      </c>
      <c r="M228" s="64">
        <f t="shared" si="159"/>
        <v>0.04</v>
      </c>
      <c r="N228" s="13">
        <f t="shared" si="159"/>
        <v>0.04</v>
      </c>
      <c r="O228" s="13">
        <f t="shared" si="159"/>
        <v>0.04</v>
      </c>
      <c r="P228" s="13">
        <f t="shared" si="159"/>
        <v>0.04</v>
      </c>
      <c r="Q228" s="13">
        <f t="shared" si="159"/>
        <v>0.04</v>
      </c>
    </row>
    <row r="229" spans="1:23" s="7" customFormat="1" ht="13.5" customHeight="1">
      <c r="A229" s="20">
        <v>4</v>
      </c>
      <c r="C229" s="7" t="s">
        <v>1</v>
      </c>
      <c r="D229" s="60">
        <f aca="true" t="shared" si="160" ref="D229:Q229">D227+D226*D228</f>
        <v>0.09</v>
      </c>
      <c r="E229" s="60">
        <f t="shared" si="160"/>
        <v>0.09</v>
      </c>
      <c r="F229" s="60">
        <f t="shared" si="160"/>
        <v>0.09</v>
      </c>
      <c r="G229" s="59">
        <f t="shared" si="160"/>
        <v>0.09</v>
      </c>
      <c r="H229" s="60">
        <f t="shared" si="160"/>
        <v>0.09</v>
      </c>
      <c r="I229" s="60">
        <f t="shared" si="160"/>
        <v>0.09</v>
      </c>
      <c r="J229" s="60">
        <f t="shared" si="160"/>
        <v>0.09</v>
      </c>
      <c r="K229" s="60">
        <f t="shared" si="160"/>
        <v>0.09</v>
      </c>
      <c r="L229" s="60">
        <f t="shared" si="160"/>
        <v>0.09</v>
      </c>
      <c r="M229" s="59">
        <f t="shared" si="160"/>
        <v>0.09</v>
      </c>
      <c r="N229" s="60">
        <f t="shared" si="160"/>
        <v>0.09</v>
      </c>
      <c r="O229" s="60">
        <f t="shared" si="160"/>
        <v>0.09</v>
      </c>
      <c r="P229" s="60">
        <f t="shared" si="160"/>
        <v>0.09</v>
      </c>
      <c r="Q229" s="60">
        <f t="shared" si="160"/>
        <v>0.09</v>
      </c>
      <c r="R229" s="66"/>
      <c r="S229" s="66"/>
      <c r="T229" s="66"/>
      <c r="U229" s="66"/>
      <c r="V229" s="66"/>
      <c r="W229" s="66"/>
    </row>
    <row r="230" spans="1:23" s="7" customFormat="1" ht="13.5" customHeight="1">
      <c r="A230" s="20"/>
      <c r="C230" s="26" t="s">
        <v>126</v>
      </c>
      <c r="D230" s="14">
        <v>1</v>
      </c>
      <c r="E230" s="102">
        <f aca="true" t="shared" si="161" ref="E230:Q230">D230/(1+D229)</f>
        <v>0.9174311926605504</v>
      </c>
      <c r="F230" s="102">
        <f t="shared" si="161"/>
        <v>0.84167999326656</v>
      </c>
      <c r="G230" s="115">
        <f t="shared" si="161"/>
        <v>0.7721834800610641</v>
      </c>
      <c r="H230" s="102">
        <f t="shared" si="161"/>
        <v>0.7084252110651964</v>
      </c>
      <c r="I230" s="102">
        <f t="shared" si="161"/>
        <v>0.6499313862983452</v>
      </c>
      <c r="J230" s="102">
        <f t="shared" si="161"/>
        <v>0.5962673268792158</v>
      </c>
      <c r="K230" s="102">
        <f t="shared" si="161"/>
        <v>0.5470342448433172</v>
      </c>
      <c r="L230" s="102">
        <f t="shared" si="161"/>
        <v>0.501866279672768</v>
      </c>
      <c r="M230" s="115">
        <f t="shared" si="161"/>
        <v>0.4604277795163009</v>
      </c>
      <c r="N230" s="102">
        <f t="shared" si="161"/>
        <v>0.42241080689568883</v>
      </c>
      <c r="O230" s="102">
        <f t="shared" si="161"/>
        <v>0.38753285036301727</v>
      </c>
      <c r="P230" s="102">
        <f t="shared" si="161"/>
        <v>0.35553472510368556</v>
      </c>
      <c r="Q230" s="102">
        <f t="shared" si="161"/>
        <v>0.3261786468841152</v>
      </c>
      <c r="R230" s="66"/>
      <c r="S230" s="66"/>
      <c r="T230" s="66"/>
      <c r="U230" s="66"/>
      <c r="V230" s="66"/>
      <c r="W230" s="66"/>
    </row>
    <row r="231" spans="3:17" ht="13.5" customHeight="1">
      <c r="C231" s="4" t="s">
        <v>82</v>
      </c>
      <c r="E231" s="5">
        <f aca="true" t="shared" si="162" ref="E231:P231">E152</f>
        <v>2417.554656376629</v>
      </c>
      <c r="F231" s="5">
        <f t="shared" si="162"/>
        <v>2768.1345754505255</v>
      </c>
      <c r="G231" s="114">
        <f t="shared" si="162"/>
        <v>2845.3666872410736</v>
      </c>
      <c r="H231" s="5">
        <f t="shared" si="162"/>
        <v>2930.51968909277</v>
      </c>
      <c r="I231" s="5">
        <f t="shared" si="162"/>
        <v>3018.20156111112</v>
      </c>
      <c r="J231" s="5">
        <f t="shared" si="162"/>
        <v>3108.7476079444546</v>
      </c>
      <c r="K231" s="5">
        <f t="shared" si="162"/>
        <v>3202.010036182789</v>
      </c>
      <c r="L231" s="5">
        <f t="shared" si="162"/>
        <v>3298.0703372682747</v>
      </c>
      <c r="M231" s="114">
        <f t="shared" si="162"/>
        <v>3397.012447386324</v>
      </c>
      <c r="N231" s="5">
        <f t="shared" si="162"/>
        <v>3498.9228208079153</v>
      </c>
      <c r="O231" s="5">
        <f t="shared" si="162"/>
        <v>3603.8905054321535</v>
      </c>
      <c r="P231" s="5">
        <f t="shared" si="162"/>
        <v>3712.0072205951183</v>
      </c>
      <c r="Q231" s="95">
        <f>P231*(1+O$8)+P231*(1+O$8)*(1+O$8)/(P229-O$8)</f>
        <v>69457.84177603567</v>
      </c>
    </row>
    <row r="232" spans="3:17" ht="13.5" customHeight="1">
      <c r="C232" s="26" t="s">
        <v>127</v>
      </c>
      <c r="E232" s="5">
        <f aca="true" t="shared" si="163" ref="E232:Q232">E230*E231</f>
        <v>2217.9400517216777</v>
      </c>
      <c r="F232" s="5">
        <f t="shared" si="163"/>
        <v>2329.88349082613</v>
      </c>
      <c r="G232" s="114">
        <f t="shared" si="163"/>
        <v>2197.1451506036333</v>
      </c>
      <c r="H232" s="5">
        <f t="shared" si="163"/>
        <v>2076.0540292762594</v>
      </c>
      <c r="I232" s="5">
        <f t="shared" si="163"/>
        <v>1961.62392474078</v>
      </c>
      <c r="J232" s="5">
        <f t="shared" si="163"/>
        <v>1853.6446261311962</v>
      </c>
      <c r="K232" s="5">
        <f t="shared" si="163"/>
        <v>1751.6091421239748</v>
      </c>
      <c r="L232" s="5">
        <f t="shared" si="163"/>
        <v>1655.1902902639401</v>
      </c>
      <c r="M232" s="114">
        <f t="shared" si="163"/>
        <v>1564.07889813932</v>
      </c>
      <c r="N232" s="5">
        <f t="shared" si="163"/>
        <v>1477.9828120032112</v>
      </c>
      <c r="O232" s="5">
        <f t="shared" si="163"/>
        <v>1396.6259599663374</v>
      </c>
      <c r="P232" s="5">
        <f t="shared" si="163"/>
        <v>1319.7474667571812</v>
      </c>
      <c r="Q232" s="5">
        <f t="shared" si="163"/>
        <v>22655.664845998283</v>
      </c>
    </row>
    <row r="233" spans="1:23" s="91" customFormat="1" ht="13.5" customHeight="1" thickBot="1">
      <c r="A233" s="77">
        <v>5</v>
      </c>
      <c r="C233" s="92" t="s">
        <v>128</v>
      </c>
      <c r="D233" s="93">
        <f>D137</f>
        <v>1890.9674511081007</v>
      </c>
      <c r="E233" s="93">
        <f aca="true" t="shared" si="164" ref="E233:P233">E137</f>
        <v>1951.15452170783</v>
      </c>
      <c r="F233" s="93">
        <f t="shared" si="164"/>
        <v>2286.7584286615347</v>
      </c>
      <c r="G233" s="93">
        <f t="shared" si="164"/>
        <v>2350.3666872410736</v>
      </c>
      <c r="H233" s="93">
        <f t="shared" si="164"/>
        <v>2420.6696890927697</v>
      </c>
      <c r="I233" s="93">
        <f t="shared" si="164"/>
        <v>2493.05606111112</v>
      </c>
      <c r="J233" s="93">
        <f t="shared" si="164"/>
        <v>2567.8477429444542</v>
      </c>
      <c r="K233" s="93">
        <f t="shared" si="164"/>
        <v>2644.8831752327887</v>
      </c>
      <c r="L233" s="93">
        <f t="shared" si="164"/>
        <v>2724.229670489774</v>
      </c>
      <c r="M233" s="93">
        <f t="shared" si="164"/>
        <v>2805.9565606044685</v>
      </c>
      <c r="N233" s="93">
        <f t="shared" si="164"/>
        <v>2890.135257422604</v>
      </c>
      <c r="O233" s="93">
        <f t="shared" si="164"/>
        <v>2976.839315145283</v>
      </c>
      <c r="P233" s="93">
        <f t="shared" si="164"/>
        <v>3066.144494599642</v>
      </c>
      <c r="Q233" s="94"/>
      <c r="R233" s="66"/>
      <c r="S233" s="66"/>
      <c r="T233" s="66"/>
      <c r="U233" s="66"/>
      <c r="V233" s="66"/>
      <c r="W233" s="66"/>
    </row>
    <row r="234" spans="1:17" ht="10.5" hidden="1">
      <c r="A234" s="20">
        <v>42</v>
      </c>
      <c r="C234" s="6" t="s">
        <v>129</v>
      </c>
      <c r="D234" s="6"/>
      <c r="E234" s="53" t="e">
        <f>#REF!/#REF!-1</f>
        <v>#REF!</v>
      </c>
      <c r="F234" s="53" t="e">
        <f>#REF!/#REF!-1</f>
        <v>#REF!</v>
      </c>
      <c r="G234" s="37" t="e">
        <f>#REF!/#REF!-1</f>
        <v>#REF!</v>
      </c>
      <c r="H234" s="53" t="e">
        <f>#REF!/#REF!-1</f>
        <v>#REF!</v>
      </c>
      <c r="I234" s="53" t="e">
        <f>#REF!/#REF!-1</f>
        <v>#REF!</v>
      </c>
      <c r="J234" s="53" t="e">
        <f>#REF!/#REF!-1</f>
        <v>#REF!</v>
      </c>
      <c r="K234" s="53" t="e">
        <f>#REF!/#REF!-1</f>
        <v>#REF!</v>
      </c>
      <c r="L234" s="53" t="e">
        <f>#REF!/#REF!-1</f>
        <v>#REF!</v>
      </c>
      <c r="M234" s="37" t="e">
        <f>#REF!/#REF!-1</f>
        <v>#REF!</v>
      </c>
      <c r="N234" s="53" t="e">
        <f>#REF!/#REF!-1</f>
        <v>#REF!</v>
      </c>
      <c r="O234" s="53" t="e">
        <f>#REF!/#REF!-1</f>
        <v>#REF!</v>
      </c>
      <c r="P234" s="53" t="e">
        <f>#REF!/#REF!-1</f>
        <v>#REF!</v>
      </c>
      <c r="Q234" s="53" t="e">
        <f>Q233/#REF!-1</f>
        <v>#REF!</v>
      </c>
    </row>
    <row r="235" spans="1:17" ht="6.75" customHeight="1">
      <c r="A235" s="20"/>
      <c r="D235" s="1"/>
      <c r="E235" s="1"/>
      <c r="F235" s="1"/>
      <c r="G235" s="36"/>
      <c r="H235" s="1"/>
      <c r="I235" s="1"/>
      <c r="J235" s="3"/>
      <c r="K235" s="3"/>
      <c r="L235" s="3"/>
      <c r="M235" s="43"/>
      <c r="N235" s="3"/>
      <c r="O235" s="3"/>
      <c r="P235" s="3"/>
      <c r="Q235" s="3"/>
    </row>
    <row r="236" spans="1:17" ht="10.5" customHeight="1">
      <c r="A236" s="20">
        <v>6</v>
      </c>
      <c r="C236" s="4" t="s">
        <v>130</v>
      </c>
      <c r="D236" s="1">
        <f>D140</f>
        <v>1000</v>
      </c>
      <c r="E236" s="1">
        <f aca="true" t="shared" si="165" ref="E236:Q236">E140</f>
        <v>1000</v>
      </c>
      <c r="F236" s="1">
        <f t="shared" si="165"/>
        <v>1100</v>
      </c>
      <c r="G236" s="1">
        <f t="shared" si="165"/>
        <v>1100</v>
      </c>
      <c r="H236" s="1">
        <f t="shared" si="165"/>
        <v>1133</v>
      </c>
      <c r="I236" s="1">
        <f t="shared" si="165"/>
        <v>1166.99</v>
      </c>
      <c r="J236" s="1">
        <f t="shared" si="165"/>
        <v>1201.9997</v>
      </c>
      <c r="K236" s="1">
        <f t="shared" si="165"/>
        <v>1238.0596910000002</v>
      </c>
      <c r="L236" s="1">
        <f t="shared" si="165"/>
        <v>1275.2014817300003</v>
      </c>
      <c r="M236" s="1">
        <f t="shared" si="165"/>
        <v>1313.4575261819004</v>
      </c>
      <c r="N236" s="1">
        <f t="shared" si="165"/>
        <v>1352.8612519673575</v>
      </c>
      <c r="O236" s="1">
        <f t="shared" si="165"/>
        <v>1393.4470895263782</v>
      </c>
      <c r="P236" s="1">
        <f t="shared" si="165"/>
        <v>1435.2505022121695</v>
      </c>
      <c r="Q236" s="1">
        <f t="shared" si="165"/>
        <v>1478.3080172785346</v>
      </c>
    </row>
    <row r="237" spans="1:38" s="82" customFormat="1" ht="10.5" customHeight="1" hidden="1">
      <c r="A237" s="65"/>
      <c r="C237" s="26" t="s">
        <v>131</v>
      </c>
      <c r="D237" s="14">
        <v>1</v>
      </c>
      <c r="E237" s="102">
        <f aca="true" t="shared" si="166" ref="E237:Q237">D237/(1+D242)</f>
        <v>0.9433962264150942</v>
      </c>
      <c r="F237" s="102">
        <f t="shared" si="166"/>
        <v>0.8899964400142398</v>
      </c>
      <c r="G237" s="115">
        <f t="shared" si="166"/>
        <v>0.8396192830323017</v>
      </c>
      <c r="H237" s="102">
        <f t="shared" si="166"/>
        <v>0.7920936632380204</v>
      </c>
      <c r="I237" s="102">
        <f t="shared" si="166"/>
        <v>0.747258172866057</v>
      </c>
      <c r="J237" s="102">
        <f t="shared" si="166"/>
        <v>0.7049605404396764</v>
      </c>
      <c r="K237" s="102">
        <f t="shared" si="166"/>
        <v>0.6650571136223362</v>
      </c>
      <c r="L237" s="102">
        <f t="shared" si="166"/>
        <v>0.6274123713418266</v>
      </c>
      <c r="M237" s="115">
        <f t="shared" si="166"/>
        <v>0.5918984635300251</v>
      </c>
      <c r="N237" s="102">
        <f t="shared" si="166"/>
        <v>0.558394776915118</v>
      </c>
      <c r="O237" s="102">
        <f t="shared" si="166"/>
        <v>0.5267875253916207</v>
      </c>
      <c r="P237" s="102">
        <f t="shared" si="166"/>
        <v>0.4969693635770006</v>
      </c>
      <c r="Q237" s="102">
        <f t="shared" si="166"/>
        <v>0.4688390222424534</v>
      </c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</row>
    <row r="238" spans="1:17" s="82" customFormat="1" ht="10.5" customHeight="1" hidden="1">
      <c r="A238" s="65"/>
      <c r="C238" s="4" t="s">
        <v>83</v>
      </c>
      <c r="D238" s="103"/>
      <c r="E238" s="104">
        <f aca="true" t="shared" si="167" ref="E238:P238">E153</f>
        <v>1417.554656376628</v>
      </c>
      <c r="F238" s="104">
        <f t="shared" si="167"/>
        <v>1668.1345754505246</v>
      </c>
      <c r="G238" s="115">
        <f t="shared" si="167"/>
        <v>1745.3666872410724</v>
      </c>
      <c r="H238" s="104">
        <f t="shared" si="167"/>
        <v>1797.5196890927689</v>
      </c>
      <c r="I238" s="104">
        <f t="shared" si="167"/>
        <v>1851.2115611111187</v>
      </c>
      <c r="J238" s="104">
        <f t="shared" si="167"/>
        <v>1906.747907944453</v>
      </c>
      <c r="K238" s="104">
        <f t="shared" si="167"/>
        <v>1963.9503451827873</v>
      </c>
      <c r="L238" s="104">
        <f t="shared" si="167"/>
        <v>2022.8688555382728</v>
      </c>
      <c r="M238" s="115">
        <f t="shared" si="167"/>
        <v>2083.5549212044216</v>
      </c>
      <c r="N238" s="104">
        <f t="shared" si="167"/>
        <v>2146.061568840556</v>
      </c>
      <c r="O238" s="104">
        <f t="shared" si="167"/>
        <v>2210.443415905773</v>
      </c>
      <c r="P238" s="104">
        <f t="shared" si="167"/>
        <v>2276.756718382946</v>
      </c>
      <c r="Q238" s="95">
        <f>P238*(1+O$8)+P238*(1+O$8)*(1+O$8)/(P242-O$8)</f>
        <v>82858.76617101669</v>
      </c>
    </row>
    <row r="239" spans="1:17" s="82" customFormat="1" ht="10.5" customHeight="1" hidden="1">
      <c r="A239" s="65"/>
      <c r="C239" s="26" t="s">
        <v>132</v>
      </c>
      <c r="D239" s="103"/>
      <c r="E239" s="104">
        <f aca="true" t="shared" si="168" ref="E239:Q239">E238*E237</f>
        <v>1337.3157135628564</v>
      </c>
      <c r="F239" s="104">
        <f t="shared" si="168"/>
        <v>1484.6338336156323</v>
      </c>
      <c r="G239" s="115">
        <f t="shared" si="168"/>
        <v>1465.4435265698128</v>
      </c>
      <c r="H239" s="104">
        <f t="shared" si="168"/>
        <v>1423.803955275959</v>
      </c>
      <c r="I239" s="104">
        <f t="shared" si="168"/>
        <v>1383.3329687444157</v>
      </c>
      <c r="J239" s="104">
        <f t="shared" si="168"/>
        <v>1344.1820356667438</v>
      </c>
      <c r="K239" s="104">
        <f t="shared" si="168"/>
        <v>1306.1391478648554</v>
      </c>
      <c r="L239" s="104">
        <f t="shared" si="168"/>
        <v>1269.1729455667946</v>
      </c>
      <c r="M239" s="115">
        <f t="shared" si="168"/>
        <v>1233.2529565413197</v>
      </c>
      <c r="N239" s="104">
        <f t="shared" si="168"/>
        <v>1198.3495709788303</v>
      </c>
      <c r="O239" s="104">
        <f t="shared" si="168"/>
        <v>1164.434017083203</v>
      </c>
      <c r="P239" s="104">
        <f t="shared" si="168"/>
        <v>1131.478337354433</v>
      </c>
      <c r="Q239" s="104">
        <f t="shared" si="168"/>
        <v>38847.42291583554</v>
      </c>
    </row>
    <row r="240" spans="1:17" ht="10.5" customHeight="1" thickBot="1">
      <c r="A240" s="77">
        <v>7</v>
      </c>
      <c r="B240" s="78"/>
      <c r="C240" s="151" t="s">
        <v>133</v>
      </c>
      <c r="D240" s="144">
        <f>D144</f>
        <v>1000.0000000000007</v>
      </c>
      <c r="E240" s="144">
        <f aca="true" t="shared" si="169" ref="E240:P240">E144</f>
        <v>1000.000000000001</v>
      </c>
      <c r="F240" s="144">
        <f t="shared" si="169"/>
        <v>1100.000000000001</v>
      </c>
      <c r="G240" s="144">
        <f t="shared" si="169"/>
        <v>1100.0000000000011</v>
      </c>
      <c r="H240" s="144">
        <f t="shared" si="169"/>
        <v>1133.0000000000011</v>
      </c>
      <c r="I240" s="144">
        <f t="shared" si="169"/>
        <v>1166.9900000000014</v>
      </c>
      <c r="J240" s="144">
        <f t="shared" si="169"/>
        <v>1201.9997000000017</v>
      </c>
      <c r="K240" s="144">
        <f t="shared" si="169"/>
        <v>1238.0596910000017</v>
      </c>
      <c r="L240" s="144">
        <f t="shared" si="169"/>
        <v>1275.201481730002</v>
      </c>
      <c r="M240" s="144">
        <f t="shared" si="169"/>
        <v>1313.457526181902</v>
      </c>
      <c r="N240" s="144">
        <f t="shared" si="169"/>
        <v>1352.8612519673595</v>
      </c>
      <c r="O240" s="144">
        <f t="shared" si="169"/>
        <v>1393.4470895263805</v>
      </c>
      <c r="P240" s="144">
        <f t="shared" si="169"/>
        <v>1435.250502212172</v>
      </c>
      <c r="Q240" s="80"/>
    </row>
    <row r="241" spans="1:17" ht="12" customHeight="1">
      <c r="A241" s="20">
        <v>8</v>
      </c>
      <c r="C241" s="7" t="s">
        <v>43</v>
      </c>
      <c r="D241" s="228">
        <f>D145</f>
        <v>0.06</v>
      </c>
      <c r="E241" s="177">
        <f aca="true" t="shared" si="170" ref="E241:Q241">D241</f>
        <v>0.06</v>
      </c>
      <c r="F241" s="177">
        <f t="shared" si="170"/>
        <v>0.06</v>
      </c>
      <c r="G241" s="178">
        <f t="shared" si="170"/>
        <v>0.06</v>
      </c>
      <c r="H241" s="177">
        <f t="shared" si="170"/>
        <v>0.06</v>
      </c>
      <c r="I241" s="177">
        <f t="shared" si="170"/>
        <v>0.06</v>
      </c>
      <c r="J241" s="177">
        <f t="shared" si="170"/>
        <v>0.06</v>
      </c>
      <c r="K241" s="177">
        <f t="shared" si="170"/>
        <v>0.06</v>
      </c>
      <c r="L241" s="177">
        <f t="shared" si="170"/>
        <v>0.06</v>
      </c>
      <c r="M241" s="178">
        <f t="shared" si="170"/>
        <v>0.06</v>
      </c>
      <c r="N241" s="177">
        <f t="shared" si="170"/>
        <v>0.06</v>
      </c>
      <c r="O241" s="177">
        <f t="shared" si="170"/>
        <v>0.06</v>
      </c>
      <c r="P241" s="177">
        <f t="shared" si="170"/>
        <v>0.06</v>
      </c>
      <c r="Q241" s="177">
        <f t="shared" si="170"/>
        <v>0.06</v>
      </c>
    </row>
    <row r="242" spans="1:23" s="132" customFormat="1" ht="12" customHeight="1">
      <c r="A242" s="20">
        <v>9</v>
      </c>
      <c r="C242" s="132" t="s">
        <v>44</v>
      </c>
      <c r="D242" s="228">
        <f>D146</f>
        <v>0.06</v>
      </c>
      <c r="E242" s="60">
        <f aca="true" t="shared" si="171" ref="E242:Q242">D242</f>
        <v>0.06</v>
      </c>
      <c r="F242" s="60">
        <f t="shared" si="171"/>
        <v>0.06</v>
      </c>
      <c r="G242" s="59">
        <f t="shared" si="171"/>
        <v>0.06</v>
      </c>
      <c r="H242" s="60">
        <f t="shared" si="171"/>
        <v>0.06</v>
      </c>
      <c r="I242" s="60">
        <f t="shared" si="171"/>
        <v>0.06</v>
      </c>
      <c r="J242" s="60">
        <f t="shared" si="171"/>
        <v>0.06</v>
      </c>
      <c r="K242" s="60">
        <f t="shared" si="171"/>
        <v>0.06</v>
      </c>
      <c r="L242" s="60">
        <f t="shared" si="171"/>
        <v>0.06</v>
      </c>
      <c r="M242" s="59">
        <f t="shared" si="171"/>
        <v>0.06</v>
      </c>
      <c r="N242" s="60">
        <f t="shared" si="171"/>
        <v>0.06</v>
      </c>
      <c r="O242" s="60">
        <f t="shared" si="171"/>
        <v>0.06</v>
      </c>
      <c r="P242" s="60">
        <f t="shared" si="171"/>
        <v>0.06</v>
      </c>
      <c r="Q242" s="60">
        <f t="shared" si="171"/>
        <v>0.06</v>
      </c>
      <c r="R242" s="131"/>
      <c r="S242" s="131"/>
      <c r="T242" s="131"/>
      <c r="U242" s="131"/>
      <c r="V242" s="131"/>
      <c r="W242" s="131"/>
    </row>
    <row r="243" spans="1:23" s="51" customFormat="1" ht="12" customHeight="1">
      <c r="A243" s="54">
        <v>10</v>
      </c>
      <c r="C243" s="51" t="s">
        <v>134</v>
      </c>
      <c r="D243" s="98">
        <f aca="true" t="shared" si="172" ref="D243:Q243">(D242-D227)/D228</f>
        <v>0.24999999999999986</v>
      </c>
      <c r="E243" s="98">
        <f t="shared" si="172"/>
        <v>0.24999999999999986</v>
      </c>
      <c r="F243" s="98">
        <f t="shared" si="172"/>
        <v>0.24999999999999986</v>
      </c>
      <c r="G243" s="197">
        <f t="shared" si="172"/>
        <v>0.24999999999999986</v>
      </c>
      <c r="H243" s="98">
        <f t="shared" si="172"/>
        <v>0.24999999999999986</v>
      </c>
      <c r="I243" s="98">
        <f t="shared" si="172"/>
        <v>0.24999999999999986</v>
      </c>
      <c r="J243" s="99">
        <f t="shared" si="172"/>
        <v>0.24999999999999986</v>
      </c>
      <c r="K243" s="99">
        <f t="shared" si="172"/>
        <v>0.24999999999999986</v>
      </c>
      <c r="L243" s="99">
        <f t="shared" si="172"/>
        <v>0.24999999999999986</v>
      </c>
      <c r="M243" s="100">
        <f t="shared" si="172"/>
        <v>0.24999999999999986</v>
      </c>
      <c r="N243" s="99">
        <f t="shared" si="172"/>
        <v>0.24999999999999986</v>
      </c>
      <c r="O243" s="99">
        <f t="shared" si="172"/>
        <v>0.24999999999999986</v>
      </c>
      <c r="P243" s="99">
        <f t="shared" si="172"/>
        <v>0.24999999999999986</v>
      </c>
      <c r="Q243" s="101">
        <f t="shared" si="172"/>
        <v>0.24999999999999986</v>
      </c>
      <c r="R243" s="82"/>
      <c r="S243" s="82"/>
      <c r="T243" s="82"/>
      <c r="U243" s="82"/>
      <c r="V243" s="82"/>
      <c r="W243" s="82"/>
    </row>
    <row r="244" spans="1:17" ht="9.75" customHeight="1">
      <c r="A244" s="20"/>
      <c r="D244"/>
      <c r="E244" s="52"/>
      <c r="F244" s="52"/>
      <c r="G244" s="196"/>
      <c r="H244" s="52"/>
      <c r="I244" s="52"/>
      <c r="J244" s="2"/>
      <c r="K244" s="2"/>
      <c r="L244" s="2"/>
      <c r="M244" s="9"/>
      <c r="N244" s="2"/>
      <c r="O244" s="2"/>
      <c r="P244" s="2"/>
      <c r="Q244" s="2"/>
    </row>
    <row r="245" spans="1:17" ht="12.75" customHeight="1">
      <c r="A245" s="20">
        <v>11</v>
      </c>
      <c r="C245" s="26" t="s">
        <v>315</v>
      </c>
      <c r="D245" s="52"/>
      <c r="E245" s="52">
        <f>D240*D227*$H$6</f>
        <v>15.00000000000001</v>
      </c>
      <c r="F245" s="52">
        <f aca="true" t="shared" si="173" ref="F245:P245">E240*E227*$H$6</f>
        <v>15.000000000000016</v>
      </c>
      <c r="G245" s="52">
        <f t="shared" si="173"/>
        <v>16.500000000000014</v>
      </c>
      <c r="H245" s="52">
        <f t="shared" si="173"/>
        <v>16.500000000000018</v>
      </c>
      <c r="I245" s="52">
        <f t="shared" si="173"/>
        <v>16.99500000000002</v>
      </c>
      <c r="J245" s="52">
        <f t="shared" si="173"/>
        <v>17.50485000000002</v>
      </c>
      <c r="K245" s="52">
        <f t="shared" si="173"/>
        <v>18.029995500000027</v>
      </c>
      <c r="L245" s="52">
        <f t="shared" si="173"/>
        <v>18.570895365000027</v>
      </c>
      <c r="M245" s="52">
        <f t="shared" si="173"/>
        <v>19.12802222595003</v>
      </c>
      <c r="N245" s="52">
        <f t="shared" si="173"/>
        <v>19.70186289272853</v>
      </c>
      <c r="O245" s="52">
        <f t="shared" si="173"/>
        <v>20.29291877951039</v>
      </c>
      <c r="P245" s="52">
        <f t="shared" si="173"/>
        <v>20.901706342895707</v>
      </c>
      <c r="Q245" s="95">
        <f>P245*(1+O$8)+P245*(1+O$8)*(1+O$8)/(P227-O$8)</f>
        <v>1130.2597704920852</v>
      </c>
    </row>
    <row r="246" spans="1:17" ht="12.75" customHeight="1" hidden="1">
      <c r="A246" s="20"/>
      <c r="C246" s="26" t="s">
        <v>317</v>
      </c>
      <c r="D246" s="14">
        <v>1</v>
      </c>
      <c r="E246" s="102">
        <f>D246/(1+D227)</f>
        <v>0.9523809523809523</v>
      </c>
      <c r="F246" s="102">
        <f aca="true" t="shared" si="174" ref="F246:Q246">E246/(1+E227)</f>
        <v>0.9070294784580498</v>
      </c>
      <c r="G246" s="102">
        <f t="shared" si="174"/>
        <v>0.863837598531476</v>
      </c>
      <c r="H246" s="102">
        <f t="shared" si="174"/>
        <v>0.8227024747918819</v>
      </c>
      <c r="I246" s="102">
        <f t="shared" si="174"/>
        <v>0.7835261664684589</v>
      </c>
      <c r="J246" s="102">
        <f t="shared" si="174"/>
        <v>0.7462153966366274</v>
      </c>
      <c r="K246" s="102">
        <f t="shared" si="174"/>
        <v>0.7106813301301212</v>
      </c>
      <c r="L246" s="102">
        <f t="shared" si="174"/>
        <v>0.6768393620286869</v>
      </c>
      <c r="M246" s="102">
        <f t="shared" si="174"/>
        <v>0.644608916217797</v>
      </c>
      <c r="N246" s="102">
        <f t="shared" si="174"/>
        <v>0.6139132535407591</v>
      </c>
      <c r="O246" s="102">
        <f t="shared" si="174"/>
        <v>0.5846792890864372</v>
      </c>
      <c r="P246" s="102">
        <f t="shared" si="174"/>
        <v>0.5568374181775592</v>
      </c>
      <c r="Q246" s="102">
        <f t="shared" si="174"/>
        <v>0.5303213506452944</v>
      </c>
    </row>
    <row r="247" spans="1:17" ht="12.75" customHeight="1" hidden="1">
      <c r="A247" s="20"/>
      <c r="C247" s="26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210"/>
    </row>
    <row r="248" spans="1:17" ht="12.75" customHeight="1" hidden="1">
      <c r="A248" s="20"/>
      <c r="C248" s="26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210"/>
    </row>
    <row r="249" spans="3:17" ht="12.75" customHeight="1" hidden="1">
      <c r="C249" s="26" t="s">
        <v>318</v>
      </c>
      <c r="E249" s="5">
        <f>E246*E245</f>
        <v>14.285714285714295</v>
      </c>
      <c r="F249" s="5">
        <f aca="true" t="shared" si="175" ref="F249:P249">F246*F245</f>
        <v>13.605442176870762</v>
      </c>
      <c r="G249" s="5">
        <f t="shared" si="175"/>
        <v>14.253320375769366</v>
      </c>
      <c r="H249" s="5">
        <f t="shared" si="175"/>
        <v>13.574590834066065</v>
      </c>
      <c r="I249" s="5">
        <f t="shared" si="175"/>
        <v>13.316027199131472</v>
      </c>
      <c r="J249" s="5">
        <f t="shared" si="175"/>
        <v>13.06238858581468</v>
      </c>
      <c r="K249" s="5">
        <f t="shared" si="175"/>
        <v>12.81358118418012</v>
      </c>
      <c r="L249" s="5">
        <f t="shared" si="175"/>
        <v>12.569512971148116</v>
      </c>
      <c r="M249" s="5">
        <f t="shared" si="175"/>
        <v>12.330093676459583</v>
      </c>
      <c r="N249" s="5">
        <f t="shared" si="175"/>
        <v>12.095234749288924</v>
      </c>
      <c r="O249" s="5">
        <f t="shared" si="175"/>
        <v>11.864849325492946</v>
      </c>
      <c r="P249" s="5">
        <f t="shared" si="175"/>
        <v>11.638852195483558</v>
      </c>
      <c r="Q249" s="5">
        <f>Q246*Q245</f>
        <v>599.4008880674031</v>
      </c>
    </row>
    <row r="250" spans="1:17" ht="12.75" customHeight="1">
      <c r="A250" s="20">
        <v>12</v>
      </c>
      <c r="C250" s="26" t="s">
        <v>316</v>
      </c>
      <c r="D250" s="83">
        <f>SUM(E249:$Q249)/D230</f>
        <v>754.810495626823</v>
      </c>
      <c r="E250" s="83">
        <f>SUM(F249:$Q249)/E230</f>
        <v>807.1720116618085</v>
      </c>
      <c r="F250" s="83">
        <f>SUM(G249:$Q249)/F230</f>
        <v>863.6528668610312</v>
      </c>
      <c r="G250" s="36">
        <f>SUM(H249:$Q249)/G230</f>
        <v>922.9231616456119</v>
      </c>
      <c r="H250" s="83">
        <f>SUM(I249:$Q249)/H230</f>
        <v>986.8246034090748</v>
      </c>
      <c r="I250" s="83">
        <f>SUM(J249:$Q249)/I230</f>
        <v>1055.150459283208</v>
      </c>
      <c r="J250" s="83">
        <f>SUM(K249:$Q249)/J230</f>
        <v>1128.2070672735786</v>
      </c>
      <c r="K250" s="83">
        <f>SUM(L249:$Q249)/K230</f>
        <v>1206.321975645759</v>
      </c>
      <c r="L250" s="83">
        <f>SUM(M249:$Q249)/L230</f>
        <v>1289.8454114833276</v>
      </c>
      <c r="M250" s="36">
        <f>SUM(N249:$Q249)/M230</f>
        <v>1379.1518509260304</v>
      </c>
      <c r="N250" s="83">
        <f>SUM(O249:$Q249)/N230</f>
        <v>1474.6416981282423</v>
      </c>
      <c r="O250" s="83">
        <f>SUM(P249:$Q249)/O230</f>
        <v>1576.743080465312</v>
      </c>
      <c r="P250" s="83">
        <f>SUM(Q249:$Q249)/P230</f>
        <v>1685.913768036577</v>
      </c>
      <c r="Q250" s="83">
        <f>SUM($Q249:R249)/Q230</f>
        <v>1837.646007159869</v>
      </c>
    </row>
    <row r="251" spans="1:17" ht="12" customHeight="1">
      <c r="A251" s="20">
        <v>13</v>
      </c>
      <c r="C251" s="26" t="s">
        <v>319</v>
      </c>
      <c r="D251" s="1">
        <f aca="true" t="shared" si="176" ref="D251:P251">D250+D233</f>
        <v>2645.7779467349237</v>
      </c>
      <c r="E251" s="1">
        <f t="shared" si="176"/>
        <v>2758.3265333696386</v>
      </c>
      <c r="F251" s="1">
        <f t="shared" si="176"/>
        <v>3150.411295522566</v>
      </c>
      <c r="G251" s="36">
        <f t="shared" si="176"/>
        <v>3273.2898488866854</v>
      </c>
      <c r="H251" s="1">
        <f t="shared" si="176"/>
        <v>3407.4942925018445</v>
      </c>
      <c r="I251" s="1">
        <f t="shared" si="176"/>
        <v>3548.206520394328</v>
      </c>
      <c r="J251" s="1">
        <f t="shared" si="176"/>
        <v>3696.054810218033</v>
      </c>
      <c r="K251" s="1">
        <f t="shared" si="176"/>
        <v>3851.205150878548</v>
      </c>
      <c r="L251" s="1">
        <f t="shared" si="176"/>
        <v>4014.0750819731015</v>
      </c>
      <c r="M251" s="36">
        <f t="shared" si="176"/>
        <v>4185.108411530498</v>
      </c>
      <c r="N251" s="1">
        <f t="shared" si="176"/>
        <v>4364.776955550846</v>
      </c>
      <c r="O251" s="1">
        <f t="shared" si="176"/>
        <v>4553.582395610595</v>
      </c>
      <c r="P251" s="1">
        <f t="shared" si="176"/>
        <v>4752.058262636219</v>
      </c>
      <c r="Q251" s="1"/>
    </row>
    <row r="252" spans="1:23" s="78" customFormat="1" ht="12" customHeight="1" thickBot="1">
      <c r="A252" s="77">
        <v>14</v>
      </c>
      <c r="B252" s="78" t="s">
        <v>138</v>
      </c>
      <c r="C252" s="91" t="s">
        <v>139</v>
      </c>
      <c r="D252" s="144">
        <f aca="true" t="shared" si="177" ref="D252:O252">D251-D240</f>
        <v>1645.777946734923</v>
      </c>
      <c r="E252" s="144">
        <f t="shared" si="177"/>
        <v>1758.3265333696377</v>
      </c>
      <c r="F252" s="144">
        <f t="shared" si="177"/>
        <v>2050.411295522565</v>
      </c>
      <c r="G252" s="145">
        <f t="shared" si="177"/>
        <v>2173.289848886684</v>
      </c>
      <c r="H252" s="144">
        <f t="shared" si="177"/>
        <v>2274.494292501843</v>
      </c>
      <c r="I252" s="93">
        <f t="shared" si="177"/>
        <v>2381.216520394327</v>
      </c>
      <c r="J252" s="93">
        <f t="shared" si="177"/>
        <v>2494.055110218031</v>
      </c>
      <c r="K252" s="93">
        <f t="shared" si="177"/>
        <v>2613.1454598785463</v>
      </c>
      <c r="L252" s="93">
        <f t="shared" si="177"/>
        <v>2738.8736002430996</v>
      </c>
      <c r="M252" s="116">
        <f t="shared" si="177"/>
        <v>2871.6508853485966</v>
      </c>
      <c r="N252" s="93">
        <f t="shared" si="177"/>
        <v>3011.915703583486</v>
      </c>
      <c r="O252" s="93">
        <f t="shared" si="177"/>
        <v>3160.135306084215</v>
      </c>
      <c r="P252" s="93">
        <f>P251-P240</f>
        <v>3316.807760424047</v>
      </c>
      <c r="Q252" s="93"/>
      <c r="R252" s="82"/>
      <c r="S252" s="82"/>
      <c r="T252" s="82"/>
      <c r="U252" s="82"/>
      <c r="V252" s="82"/>
      <c r="W252" s="82"/>
    </row>
    <row r="253" spans="1:17" ht="10.5" hidden="1">
      <c r="A253" s="20"/>
      <c r="C253" s="6" t="s">
        <v>140</v>
      </c>
      <c r="D253" s="6"/>
      <c r="E253" s="53">
        <f aca="true" t="shared" si="178" ref="E253:Q253">E252/D252-1</f>
        <v>0.0683862527493464</v>
      </c>
      <c r="F253" s="53">
        <f t="shared" si="178"/>
        <v>0.16611519908829409</v>
      </c>
      <c r="G253" s="37">
        <f t="shared" si="178"/>
        <v>0.05992873411907462</v>
      </c>
      <c r="H253" s="53">
        <f t="shared" si="178"/>
        <v>0.04656739351495309</v>
      </c>
      <c r="I253" s="53">
        <f t="shared" si="178"/>
        <v>0.046921299492510116</v>
      </c>
      <c r="J253" s="53">
        <f t="shared" si="178"/>
        <v>0.04738695068561771</v>
      </c>
      <c r="K253" s="53">
        <f t="shared" si="178"/>
        <v>0.04774968651358469</v>
      </c>
      <c r="L253" s="53">
        <f t="shared" si="178"/>
        <v>0.04811371670461728</v>
      </c>
      <c r="M253" s="37">
        <f t="shared" si="178"/>
        <v>0.04847879255680576</v>
      </c>
      <c r="N253" s="53">
        <f t="shared" si="178"/>
        <v>0.048844662472911304</v>
      </c>
      <c r="O253" s="53">
        <f t="shared" si="178"/>
        <v>0.04921107264867386</v>
      </c>
      <c r="P253" s="53">
        <f t="shared" si="178"/>
        <v>0.049577767774117376</v>
      </c>
      <c r="Q253" s="53">
        <f t="shared" si="178"/>
        <v>-1</v>
      </c>
    </row>
    <row r="254" spans="1:17" ht="9" customHeight="1">
      <c r="A254" s="20"/>
      <c r="C254" s="6"/>
      <c r="D254" s="6"/>
      <c r="E254" s="6"/>
      <c r="F254" s="6"/>
      <c r="G254" s="198"/>
      <c r="H254" s="6"/>
      <c r="I254" s="6"/>
      <c r="J254" s="6"/>
      <c r="K254" s="6"/>
      <c r="L254" s="6"/>
      <c r="M254" s="37"/>
      <c r="N254" s="6"/>
      <c r="O254" s="6"/>
      <c r="P254" s="6"/>
      <c r="Q254" s="53"/>
    </row>
    <row r="255" spans="1:17" ht="12.75" customHeight="1">
      <c r="A255" s="20">
        <v>15</v>
      </c>
      <c r="B255" s="4" t="s">
        <v>141</v>
      </c>
      <c r="C255" s="4" t="s">
        <v>142</v>
      </c>
      <c r="D255" s="14">
        <f aca="true" t="shared" si="179" ref="D255:P255">D226*(D240*(1-$F1)+D261)/D261-D243*D240*(1-$F1)/D261</f>
        <v>1.3189980768921798</v>
      </c>
      <c r="E255" s="14">
        <f t="shared" si="179"/>
        <v>1.3893220955809529</v>
      </c>
      <c r="F255" s="14">
        <f t="shared" si="179"/>
        <v>1.5720730377441303</v>
      </c>
      <c r="G255" s="119">
        <f t="shared" si="179"/>
        <v>1.9189417497113839</v>
      </c>
      <c r="H255" s="14">
        <f t="shared" si="179"/>
        <v>4.000379933301471</v>
      </c>
      <c r="I255" s="14">
        <f t="shared" si="179"/>
        <v>-1.1477581817724671</v>
      </c>
      <c r="J255" s="14">
        <f t="shared" si="179"/>
        <v>0.2372421717669504</v>
      </c>
      <c r="K255" s="14">
        <f t="shared" si="179"/>
        <v>0.5466314102155634</v>
      </c>
      <c r="L255" s="14">
        <f t="shared" si="179"/>
        <v>0.6827921120888378</v>
      </c>
      <c r="M255" s="119">
        <f t="shared" si="179"/>
        <v>0.7592945867666641</v>
      </c>
      <c r="N255" s="14">
        <f t="shared" si="179"/>
        <v>0.8082370192614284</v>
      </c>
      <c r="O255" s="14">
        <f t="shared" si="179"/>
        <v>0.842192932546549</v>
      </c>
      <c r="P255" s="14">
        <f t="shared" si="179"/>
        <v>0.8670972133504817</v>
      </c>
      <c r="Q255" s="14"/>
    </row>
    <row r="256" spans="1:23" s="7" customFormat="1" ht="12" customHeight="1">
      <c r="A256" s="20">
        <v>16</v>
      </c>
      <c r="C256" s="7" t="s">
        <v>2</v>
      </c>
      <c r="D256" s="60">
        <f aca="true" t="shared" si="180" ref="D256:P256">D227+D228*D255</f>
        <v>0.1027599230756872</v>
      </c>
      <c r="E256" s="60">
        <f t="shared" si="180"/>
        <v>0.10557288382323812</v>
      </c>
      <c r="F256" s="60">
        <f t="shared" si="180"/>
        <v>0.11288292150976521</v>
      </c>
      <c r="G256" s="59">
        <f t="shared" si="180"/>
        <v>0.12675766998845536</v>
      </c>
      <c r="H256" s="60">
        <f t="shared" si="180"/>
        <v>0.21001519733205887</v>
      </c>
      <c r="I256" s="60">
        <f t="shared" si="180"/>
        <v>0.004089672729101317</v>
      </c>
      <c r="J256" s="60">
        <f t="shared" si="180"/>
        <v>0.059489686870678016</v>
      </c>
      <c r="K256" s="60">
        <f t="shared" si="180"/>
        <v>0.07186525640862254</v>
      </c>
      <c r="L256" s="60">
        <f t="shared" si="180"/>
        <v>0.07731168448355352</v>
      </c>
      <c r="M256" s="59">
        <f t="shared" si="180"/>
        <v>0.08037178347066656</v>
      </c>
      <c r="N256" s="60">
        <f t="shared" si="180"/>
        <v>0.08232948077045714</v>
      </c>
      <c r="O256" s="60">
        <f t="shared" si="180"/>
        <v>0.08368771730186197</v>
      </c>
      <c r="P256" s="60">
        <f t="shared" si="180"/>
        <v>0.08468388853401927</v>
      </c>
      <c r="Q256" s="60">
        <f>P256</f>
        <v>0.08468388853401927</v>
      </c>
      <c r="R256" s="66"/>
      <c r="S256" s="66"/>
      <c r="T256" s="66"/>
      <c r="U256" s="66"/>
      <c r="V256" s="66"/>
      <c r="W256" s="66"/>
    </row>
    <row r="257" spans="1:17" ht="12" customHeight="1" hidden="1">
      <c r="A257" s="20"/>
      <c r="C257" s="26" t="s">
        <v>143</v>
      </c>
      <c r="D257" s="14">
        <v>1</v>
      </c>
      <c r="E257" s="14">
        <f>1/(1+D256)</f>
        <v>0.9068156895028598</v>
      </c>
      <c r="F257" s="55">
        <f aca="true" t="shared" si="181" ref="F257:Q257">E257/(1+E256)</f>
        <v>0.8202224410270936</v>
      </c>
      <c r="G257" s="117">
        <f t="shared" si="181"/>
        <v>0.7370249153561984</v>
      </c>
      <c r="H257" s="55">
        <f t="shared" si="181"/>
        <v>0.6541112920613621</v>
      </c>
      <c r="I257" s="55">
        <f t="shared" si="181"/>
        <v>0.5405810551004653</v>
      </c>
      <c r="J257" s="55">
        <f t="shared" si="181"/>
        <v>0.5383792601224289</v>
      </c>
      <c r="K257" s="55">
        <f t="shared" si="181"/>
        <v>0.5081495995610799</v>
      </c>
      <c r="L257" s="55">
        <f t="shared" si="181"/>
        <v>0.4740797376562788</v>
      </c>
      <c r="M257" s="117">
        <f t="shared" si="181"/>
        <v>0.44005810433917764</v>
      </c>
      <c r="N257" s="55">
        <f t="shared" si="181"/>
        <v>0.40732098993320826</v>
      </c>
      <c r="O257" s="55">
        <f t="shared" si="181"/>
        <v>0.3763373327346276</v>
      </c>
      <c r="P257" s="55">
        <f t="shared" si="181"/>
        <v>0.3472747053658804</v>
      </c>
      <c r="Q257" s="55">
        <f t="shared" si="181"/>
        <v>0.32016213113963726</v>
      </c>
    </row>
    <row r="258" spans="1:17" ht="12" customHeight="1" hidden="1">
      <c r="A258" s="20"/>
      <c r="B258" s="51"/>
      <c r="C258" s="51" t="s">
        <v>81</v>
      </c>
      <c r="D258" s="51"/>
      <c r="E258" s="51">
        <f aca="true" t="shared" si="182" ref="E258:P258">E151</f>
        <v>466.4001346687989</v>
      </c>
      <c r="F258" s="51">
        <f t="shared" si="182"/>
        <v>481.376146788991</v>
      </c>
      <c r="G258" s="120">
        <f t="shared" si="182"/>
        <v>495.00000000000017</v>
      </c>
      <c r="H258" s="51">
        <f t="shared" si="182"/>
        <v>509.8500000000002</v>
      </c>
      <c r="I258" s="51">
        <f t="shared" si="182"/>
        <v>525.1455000000002</v>
      </c>
      <c r="J258" s="51">
        <f t="shared" si="182"/>
        <v>540.8998650000003</v>
      </c>
      <c r="K258" s="51">
        <f t="shared" si="182"/>
        <v>557.1268609500003</v>
      </c>
      <c r="L258" s="51">
        <f t="shared" si="182"/>
        <v>573.8406667785005</v>
      </c>
      <c r="M258" s="120">
        <f t="shared" si="182"/>
        <v>591.0558867818555</v>
      </c>
      <c r="N258" s="51">
        <f t="shared" si="182"/>
        <v>608.7875633853113</v>
      </c>
      <c r="O258" s="51">
        <f t="shared" si="182"/>
        <v>627.0511902868706</v>
      </c>
      <c r="P258" s="51">
        <f t="shared" si="182"/>
        <v>645.8627259954767</v>
      </c>
      <c r="Q258" s="1">
        <f>P258*(1+O$8)+P258*(1+O$8)*(1+O$8)/(P256-O$8)</f>
        <v>13195.360081897205</v>
      </c>
    </row>
    <row r="259" spans="1:23" s="172" customFormat="1" ht="0.75" customHeight="1">
      <c r="A259" s="171"/>
      <c r="C259" s="173" t="s">
        <v>144</v>
      </c>
      <c r="D259" s="174"/>
      <c r="E259" s="174">
        <f aca="true" t="shared" si="183" ref="E259:Q259">E258*E257</f>
        <v>422.93895970391355</v>
      </c>
      <c r="F259" s="174">
        <f t="shared" si="183"/>
        <v>394.8355181714827</v>
      </c>
      <c r="G259" s="175">
        <f t="shared" si="183"/>
        <v>364.82733310131835</v>
      </c>
      <c r="H259" s="174">
        <f t="shared" si="183"/>
        <v>333.4986422574856</v>
      </c>
      <c r="I259" s="174">
        <f t="shared" si="183"/>
        <v>283.8837084712615</v>
      </c>
      <c r="J259" s="174">
        <f t="shared" si="183"/>
        <v>291.2092691190218</v>
      </c>
      <c r="K259" s="174">
        <f t="shared" si="183"/>
        <v>283.10379129646407</v>
      </c>
      <c r="L259" s="174">
        <f t="shared" si="183"/>
        <v>272.0462327628556</v>
      </c>
      <c r="M259" s="175">
        <f t="shared" si="183"/>
        <v>260.09893309573494</v>
      </c>
      <c r="N259" s="174">
        <f t="shared" si="183"/>
        <v>247.97195297713077</v>
      </c>
      <c r="O259" s="174">
        <f t="shared" si="183"/>
        <v>235.9827724406343</v>
      </c>
      <c r="P259" s="174">
        <f t="shared" si="183"/>
        <v>224.29178787688352</v>
      </c>
      <c r="Q259" s="174">
        <f t="shared" si="183"/>
        <v>4224.654604975108</v>
      </c>
      <c r="R259" s="176"/>
      <c r="S259" s="176"/>
      <c r="T259" s="176"/>
      <c r="U259" s="176"/>
      <c r="V259" s="176"/>
      <c r="W259" s="176"/>
    </row>
    <row r="260" spans="1:23" s="78" customFormat="1" ht="12.75" customHeight="1" thickBot="1">
      <c r="A260" s="77">
        <v>17</v>
      </c>
      <c r="C260" s="79" t="s">
        <v>145</v>
      </c>
      <c r="D260" s="93">
        <f>SUM(E259:$Q259)/D257</f>
        <v>7839.3435062492945</v>
      </c>
      <c r="E260" s="93">
        <f>SUM(F259:$Q259)/E257</f>
        <v>8178.513707246561</v>
      </c>
      <c r="F260" s="93">
        <f>SUM(G259:$Q259)/F257</f>
        <v>8560.566837919474</v>
      </c>
      <c r="G260" s="116">
        <f>SUM(H259:$Q259)/G257</f>
        <v>9031.908632363436</v>
      </c>
      <c r="H260" s="93">
        <f>SUM(I259:$Q259)/H257</f>
        <v>9666.922326150443</v>
      </c>
      <c r="I260" s="93">
        <f>SUM(J259:$Q259)/I257</f>
        <v>11171.977426070614</v>
      </c>
      <c r="J260" s="93">
        <f>SUM(K259:$Q259)/J257</f>
        <v>10676.76729248015</v>
      </c>
      <c r="K260" s="93">
        <f>SUM(L259:$Q259)/K257</f>
        <v>10754.79797455089</v>
      </c>
      <c r="L260" s="93">
        <f>SUM(M259:$Q259)/L257</f>
        <v>10953.853621836424</v>
      </c>
      <c r="M260" s="116">
        <f>SUM(N259:$Q259)/M257</f>
        <v>11209.658610145016</v>
      </c>
      <c r="N260" s="93">
        <f>SUM(O259:$Q259)/N257</f>
        <v>11501.811301354373</v>
      </c>
      <c r="O260" s="93">
        <f>SUM(P259:$Q259)/O257</f>
        <v>11821.698263427783</v>
      </c>
      <c r="P260" s="93">
        <f>SUM(Q259:$Q259)/P257</f>
        <v>12165.166479729964</v>
      </c>
      <c r="Q260" s="93"/>
      <c r="R260" s="82"/>
      <c r="S260" s="82"/>
      <c r="T260" s="82"/>
      <c r="U260" s="82"/>
      <c r="V260" s="82"/>
      <c r="W260" s="82"/>
    </row>
    <row r="261" spans="1:17" ht="12" customHeight="1">
      <c r="A261" s="20">
        <v>18</v>
      </c>
      <c r="C261" s="106" t="s">
        <v>146</v>
      </c>
      <c r="D261" s="81">
        <f>D252</f>
        <v>1645.777946734923</v>
      </c>
      <c r="E261" s="81">
        <f>D261*(1+D256)-E258</f>
        <v>1348.4978272722674</v>
      </c>
      <c r="F261" s="81">
        <f aca="true" t="shared" si="184" ref="F261:P261">E261*(1+E256)-F258</f>
        <v>1009.4864849377805</v>
      </c>
      <c r="G261" s="121">
        <f t="shared" si="184"/>
        <v>628.4402685821806</v>
      </c>
      <c r="H261" s="81">
        <f t="shared" si="184"/>
        <v>198.2498927545767</v>
      </c>
      <c r="I261" s="81">
        <f t="shared" si="184"/>
        <v>-285.2601168975115</v>
      </c>
      <c r="J261" s="81">
        <f t="shared" si="184"/>
        <v>-827.3266024182878</v>
      </c>
      <c r="K261" s="81">
        <f t="shared" si="184"/>
        <v>-1433.670863885934</v>
      </c>
      <c r="L261" s="81">
        <f t="shared" si="184"/>
        <v>-2110.542654903169</v>
      </c>
      <c r="M261" s="121">
        <f t="shared" si="184"/>
        <v>-2864.7681495099796</v>
      </c>
      <c r="N261" s="81">
        <f t="shared" si="184"/>
        <v>-3703.802238301369</v>
      </c>
      <c r="O261" s="81">
        <f t="shared" si="184"/>
        <v>-4635.785543744048</v>
      </c>
      <c r="P261" s="81">
        <f t="shared" si="184"/>
        <v>-5669.606579796435</v>
      </c>
      <c r="Q261" s="81"/>
    </row>
    <row r="262" spans="1:13" ht="9" customHeight="1">
      <c r="A262" s="20"/>
      <c r="D262" s="50"/>
      <c r="E262" s="5"/>
      <c r="M262" s="38"/>
    </row>
    <row r="263" spans="1:23" s="7" customFormat="1" ht="10.5" customHeight="1">
      <c r="A263" s="20">
        <v>19</v>
      </c>
      <c r="C263" s="7" t="s">
        <v>4</v>
      </c>
      <c r="D263" s="58">
        <f aca="true" t="shared" si="185" ref="D263:P263">(D261*D256+D240*D242-D236*D241*$F1)/(D261+D240)</f>
        <v>0.07979506196530216</v>
      </c>
      <c r="E263" s="58">
        <f t="shared" si="185"/>
        <v>0.07850328934246453</v>
      </c>
      <c r="F263" s="58">
        <f t="shared" si="185"/>
        <v>0.07592074411850237</v>
      </c>
      <c r="G263" s="170">
        <f t="shared" si="185"/>
        <v>0.07281687800275417</v>
      </c>
      <c r="H263" s="58">
        <f t="shared" si="185"/>
        <v>0.067020843219223</v>
      </c>
      <c r="I263" s="58">
        <f t="shared" si="185"/>
        <v>0.0542648722654923</v>
      </c>
      <c r="J263" s="58">
        <f t="shared" si="185"/>
        <v>0.003380511946358752</v>
      </c>
      <c r="K263" s="58">
        <f t="shared" si="185"/>
        <v>0.2608880487951106</v>
      </c>
      <c r="L263" s="58">
        <f t="shared" si="185"/>
        <v>0.13121721891897287</v>
      </c>
      <c r="M263" s="58">
        <f t="shared" si="185"/>
        <v>0.1128602529200958</v>
      </c>
      <c r="N263" s="58">
        <f t="shared" si="185"/>
        <v>0.10553729081905976</v>
      </c>
      <c r="O263" s="58">
        <f t="shared" si="185"/>
        <v>0.10160368417685446</v>
      </c>
      <c r="P263" s="58">
        <f t="shared" si="185"/>
        <v>0.09915174889633678</v>
      </c>
      <c r="Q263" s="58">
        <f>P263</f>
        <v>0.09915174889633678</v>
      </c>
      <c r="R263" s="66"/>
      <c r="S263" s="66"/>
      <c r="T263" s="66"/>
      <c r="U263" s="66"/>
      <c r="V263" s="66"/>
      <c r="W263" s="66"/>
    </row>
    <row r="264" spans="1:17" ht="10.5" customHeight="1" hidden="1">
      <c r="A264" s="20"/>
      <c r="C264" s="26" t="s">
        <v>147</v>
      </c>
      <c r="D264" s="14">
        <v>1</v>
      </c>
      <c r="E264" s="14">
        <f>1/(1+D263)</f>
        <v>0.9261016606057917</v>
      </c>
      <c r="F264" s="14">
        <f aca="true" t="shared" si="186" ref="F264:Q264">E264/(1+E263)</f>
        <v>0.8586915494438703</v>
      </c>
      <c r="G264" s="119">
        <f t="shared" si="186"/>
        <v>0.7980992597622912</v>
      </c>
      <c r="H264" s="14">
        <f t="shared" si="186"/>
        <v>0.7439286947536654</v>
      </c>
      <c r="I264" s="14">
        <f t="shared" si="186"/>
        <v>0.6972016521338213</v>
      </c>
      <c r="J264" s="14">
        <f t="shared" si="186"/>
        <v>0.6613154535212923</v>
      </c>
      <c r="K264" s="14">
        <f t="shared" si="186"/>
        <v>0.6590874006895666</v>
      </c>
      <c r="L264" s="14">
        <f t="shared" si="186"/>
        <v>0.522716827492641</v>
      </c>
      <c r="M264" s="119">
        <f t="shared" si="186"/>
        <v>0.46208351389149277</v>
      </c>
      <c r="N264" s="14">
        <f t="shared" si="186"/>
        <v>0.41522150933057966</v>
      </c>
      <c r="O264" s="14">
        <f t="shared" si="186"/>
        <v>0.37558344958491124</v>
      </c>
      <c r="P264" s="14">
        <f t="shared" si="186"/>
        <v>0.34094244144213853</v>
      </c>
      <c r="Q264" s="14">
        <f t="shared" si="186"/>
        <v>0.3101868707250663</v>
      </c>
    </row>
    <row r="265" spans="1:17" ht="10.5" customHeight="1" hidden="1">
      <c r="A265" s="54"/>
      <c r="B265" s="51"/>
      <c r="C265" s="51" t="s">
        <v>82</v>
      </c>
      <c r="D265" s="51"/>
      <c r="E265" s="51">
        <f aca="true" t="shared" si="187" ref="E265:P265">E152</f>
        <v>2417.554656376629</v>
      </c>
      <c r="F265" s="51">
        <f t="shared" si="187"/>
        <v>2768.1345754505255</v>
      </c>
      <c r="G265" s="120">
        <f t="shared" si="187"/>
        <v>2845.3666872410736</v>
      </c>
      <c r="H265" s="51">
        <f t="shared" si="187"/>
        <v>2930.51968909277</v>
      </c>
      <c r="I265" s="51">
        <f t="shared" si="187"/>
        <v>3018.20156111112</v>
      </c>
      <c r="J265" s="51">
        <f t="shared" si="187"/>
        <v>3108.7476079444546</v>
      </c>
      <c r="K265" s="51">
        <f t="shared" si="187"/>
        <v>3202.010036182789</v>
      </c>
      <c r="L265" s="51">
        <f t="shared" si="187"/>
        <v>3298.0703372682747</v>
      </c>
      <c r="M265" s="120">
        <f t="shared" si="187"/>
        <v>3397.012447386324</v>
      </c>
      <c r="N265" s="51">
        <f t="shared" si="187"/>
        <v>3498.9228208079153</v>
      </c>
      <c r="O265" s="51">
        <f t="shared" si="187"/>
        <v>3603.8905054321535</v>
      </c>
      <c r="P265" s="51">
        <f t="shared" si="187"/>
        <v>3712.0072205951183</v>
      </c>
      <c r="Q265" s="1">
        <f>P265*(1+O$8)+P265*(1+O$8)*(1+O$8)/(P263-O$8)</f>
        <v>60771.5794952015</v>
      </c>
    </row>
    <row r="266" spans="1:17" ht="0.75" customHeight="1">
      <c r="A266" s="20"/>
      <c r="C266" s="26" t="s">
        <v>127</v>
      </c>
      <c r="D266" s="1"/>
      <c r="E266" s="1">
        <f aca="true" t="shared" si="188" ref="E266:Q266">E265*E264</f>
        <v>2238.9013818756603</v>
      </c>
      <c r="F266" s="1">
        <f t="shared" si="188"/>
        <v>2376.973767662762</v>
      </c>
      <c r="G266" s="36">
        <f t="shared" si="188"/>
        <v>2270.8850468393834</v>
      </c>
      <c r="H266" s="1">
        <f t="shared" si="188"/>
        <v>2180.0976872567016</v>
      </c>
      <c r="I266" s="1">
        <f t="shared" si="188"/>
        <v>2104.295114879552</v>
      </c>
      <c r="J266" s="1">
        <f t="shared" si="188"/>
        <v>2055.8628342310194</v>
      </c>
      <c r="K266" s="1">
        <f t="shared" si="188"/>
        <v>2110.4044717296197</v>
      </c>
      <c r="L266" s="1">
        <f t="shared" si="188"/>
        <v>1723.956863544457</v>
      </c>
      <c r="M266" s="36">
        <f t="shared" si="188"/>
        <v>1569.7034484214123</v>
      </c>
      <c r="N266" s="1">
        <f t="shared" si="188"/>
        <v>1452.8280146870718</v>
      </c>
      <c r="O266" s="1">
        <f t="shared" si="188"/>
        <v>1353.5616279565174</v>
      </c>
      <c r="P266" s="1">
        <f t="shared" si="188"/>
        <v>1265.5808044405464</v>
      </c>
      <c r="Q266" s="1">
        <f t="shared" si="188"/>
        <v>18850.546072636156</v>
      </c>
    </row>
    <row r="267" spans="1:17" ht="10.5" customHeight="1">
      <c r="A267" s="20">
        <v>20</v>
      </c>
      <c r="B267" s="4" t="s">
        <v>148</v>
      </c>
      <c r="C267" s="51" t="s">
        <v>149</v>
      </c>
      <c r="D267" s="22">
        <f>SUM(E266:$Q266)/D264</f>
        <v>41553.59713616085</v>
      </c>
      <c r="E267" s="22">
        <f>SUM(F266:$Q266)/E264</f>
        <v>42451.81433814539</v>
      </c>
      <c r="F267" s="22">
        <f>SUM(G266:$Q266)/F264</f>
        <v>43016.28682679487</v>
      </c>
      <c r="G267" s="111">
        <f>SUM(H266:$Q266)/G264</f>
        <v>43436.748644659</v>
      </c>
      <c r="H267" s="22">
        <f>SUM(I266:$Q266)/H264</f>
        <v>43669.15738246066</v>
      </c>
      <c r="I267" s="22">
        <f>SUM(J266:$Q266)/I264</f>
        <v>43577.699571795005</v>
      </c>
      <c r="J267" s="22">
        <f>SUM(K266:$Q266)/J264</f>
        <v>42833.69026473801</v>
      </c>
      <c r="K267" s="22">
        <f>SUM(L266:$Q266)/K264</f>
        <v>39776.480030201805</v>
      </c>
      <c r="L267" s="22">
        <f>SUM(M266:$Q266)/L264</f>
        <v>46855.61795595056</v>
      </c>
      <c r="M267" s="111">
        <f>SUM(N266:$Q266)/M264</f>
        <v>49606.86938747396</v>
      </c>
      <c r="N267" s="22">
        <f>SUM(O266:$Q266)/N264</f>
        <v>51706.590392310514</v>
      </c>
      <c r="O267" s="22">
        <f>SUM(P266:$Q266)/O264</f>
        <v>53559.673354373626</v>
      </c>
      <c r="P267" s="22">
        <f>SUM(Q266:$Q266)/P264</f>
        <v>55289.52626989177</v>
      </c>
      <c r="Q267" s="22"/>
    </row>
    <row r="268" spans="1:23" s="78" customFormat="1" ht="12.75" customHeight="1" thickBot="1">
      <c r="A268" s="77">
        <v>21</v>
      </c>
      <c r="B268" s="78" t="s">
        <v>138</v>
      </c>
      <c r="C268" s="91" t="s">
        <v>150</v>
      </c>
      <c r="D268" s="93">
        <f aca="true" t="shared" si="189" ref="D268:P268">D267-D240</f>
        <v>40553.59713616085</v>
      </c>
      <c r="E268" s="93">
        <f t="shared" si="189"/>
        <v>41451.81433814539</v>
      </c>
      <c r="F268" s="93">
        <f t="shared" si="189"/>
        <v>41916.28682679487</v>
      </c>
      <c r="G268" s="116">
        <f t="shared" si="189"/>
        <v>42336.748644659</v>
      </c>
      <c r="H268" s="93">
        <f t="shared" si="189"/>
        <v>42536.15738246066</v>
      </c>
      <c r="I268" s="93">
        <f t="shared" si="189"/>
        <v>42410.70957179501</v>
      </c>
      <c r="J268" s="93">
        <f t="shared" si="189"/>
        <v>41631.69056473801</v>
      </c>
      <c r="K268" s="93">
        <f t="shared" si="189"/>
        <v>38538.4203392018</v>
      </c>
      <c r="L268" s="93">
        <f t="shared" si="189"/>
        <v>45580.41647422056</v>
      </c>
      <c r="M268" s="116">
        <f t="shared" si="189"/>
        <v>48293.41186129206</v>
      </c>
      <c r="N268" s="93">
        <f t="shared" si="189"/>
        <v>50353.72914034315</v>
      </c>
      <c r="O268" s="93">
        <f t="shared" si="189"/>
        <v>52166.226264847246</v>
      </c>
      <c r="P268" s="93">
        <f t="shared" si="189"/>
        <v>53854.2757676796</v>
      </c>
      <c r="Q268" s="133"/>
      <c r="R268" s="82"/>
      <c r="S268" s="82"/>
      <c r="T268" s="82"/>
      <c r="U268" s="82"/>
      <c r="V268" s="82"/>
      <c r="W268" s="82"/>
    </row>
    <row r="269" spans="1:17" ht="12.75" customHeight="1">
      <c r="A269" s="20">
        <v>22</v>
      </c>
      <c r="C269" s="85" t="s">
        <v>151</v>
      </c>
      <c r="D269" s="83">
        <f>D267</f>
        <v>41553.59713616085</v>
      </c>
      <c r="E269" s="83">
        <f aca="true" t="shared" si="190" ref="E269:P269">D269*(1+D263)-E152</f>
        <v>42451.814338145385</v>
      </c>
      <c r="F269" s="83">
        <f t="shared" si="190"/>
        <v>43016.28682679488</v>
      </c>
      <c r="G269" s="36">
        <f t="shared" si="190"/>
        <v>43436.748644659005</v>
      </c>
      <c r="H269" s="83">
        <f t="shared" si="190"/>
        <v>43669.157382460675</v>
      </c>
      <c r="I269" s="83">
        <f t="shared" si="190"/>
        <v>43577.69957179503</v>
      </c>
      <c r="J269" s="83">
        <f t="shared" si="190"/>
        <v>42833.690264738034</v>
      </c>
      <c r="K269" s="83">
        <f t="shared" si="190"/>
        <v>39776.48003020183</v>
      </c>
      <c r="L269" s="83">
        <f t="shared" si="190"/>
        <v>46855.61795595059</v>
      </c>
      <c r="M269" s="36">
        <f t="shared" si="190"/>
        <v>49606.86938747399</v>
      </c>
      <c r="N269" s="83">
        <f t="shared" si="190"/>
        <v>51706.59039231054</v>
      </c>
      <c r="O269" s="83">
        <f t="shared" si="190"/>
        <v>53559.67335437367</v>
      </c>
      <c r="P269" s="83">
        <f t="shared" si="190"/>
        <v>55289.52626989182</v>
      </c>
      <c r="Q269" s="105"/>
    </row>
    <row r="270" spans="1:17" ht="6.75" customHeight="1">
      <c r="A270" s="20"/>
      <c r="C270" s="6"/>
      <c r="D270" s="6"/>
      <c r="E270" s="53"/>
      <c r="F270" s="53"/>
      <c r="G270" s="37"/>
      <c r="H270" s="53"/>
      <c r="I270" s="53"/>
      <c r="J270" s="53"/>
      <c r="K270" s="53"/>
      <c r="L270" s="53"/>
      <c r="M270" s="37"/>
      <c r="N270" s="53"/>
      <c r="O270" s="53"/>
      <c r="P270" s="53"/>
      <c r="Q270" s="53"/>
    </row>
    <row r="271" spans="1:23" s="7" customFormat="1" ht="12" customHeight="1">
      <c r="A271" s="20">
        <v>23</v>
      </c>
      <c r="C271" s="7" t="s">
        <v>152</v>
      </c>
      <c r="D271" s="58">
        <f>(D240*D242+D252*D256)/(D240+D252)</f>
        <v>0.08659835398843405</v>
      </c>
      <c r="E271" s="58">
        <f aca="true" t="shared" si="191" ref="E271:P271">(E240*E242+E252*E256)/(E240+E252)</f>
        <v>0.08905095167637035</v>
      </c>
      <c r="F271" s="58">
        <f t="shared" si="191"/>
        <v>0.09441828048228541</v>
      </c>
      <c r="G271" s="170">
        <f t="shared" si="191"/>
        <v>0.10432353174302096</v>
      </c>
      <c r="H271" s="58">
        <f t="shared" si="191"/>
        <v>0.16013478551413332</v>
      </c>
      <c r="I271" s="58">
        <f t="shared" si="191"/>
        <v>0.022478341045570942</v>
      </c>
      <c r="J271" s="58">
        <f t="shared" si="191"/>
        <v>0.0596556465925564</v>
      </c>
      <c r="K271" s="58">
        <f t="shared" si="191"/>
        <v>0.06805089308405546</v>
      </c>
      <c r="L271" s="58">
        <f t="shared" si="191"/>
        <v>0.07181206495630281</v>
      </c>
      <c r="M271" s="170">
        <f t="shared" si="191"/>
        <v>0.07397828784518291</v>
      </c>
      <c r="N271" s="58">
        <f t="shared" si="191"/>
        <v>0.07540846519084446</v>
      </c>
      <c r="O271" s="58">
        <f t="shared" si="191"/>
        <v>0.07643901114830237</v>
      </c>
      <c r="P271" s="58">
        <f t="shared" si="191"/>
        <v>0.0772286846082688</v>
      </c>
      <c r="Q271" s="58">
        <f>P271</f>
        <v>0.0772286846082688</v>
      </c>
      <c r="R271" s="66"/>
      <c r="S271" s="66"/>
      <c r="T271" s="66"/>
      <c r="U271" s="66"/>
      <c r="V271" s="66"/>
      <c r="W271" s="66"/>
    </row>
    <row r="272" spans="1:17" ht="12" customHeight="1" hidden="1">
      <c r="A272" s="20"/>
      <c r="C272" s="26" t="s">
        <v>153</v>
      </c>
      <c r="D272" s="14">
        <v>1</v>
      </c>
      <c r="E272" s="14">
        <f>1/(1+D271)</f>
        <v>0.9203032531104351</v>
      </c>
      <c r="F272" s="14">
        <f aca="true" t="shared" si="192" ref="F272:Q272">E272/(1+E271)</f>
        <v>0.8450506853640017</v>
      </c>
      <c r="G272" s="119">
        <f t="shared" si="192"/>
        <v>0.772145988818468</v>
      </c>
      <c r="H272" s="14">
        <f t="shared" si="192"/>
        <v>0.6992026943406187</v>
      </c>
      <c r="I272" s="14">
        <f t="shared" si="192"/>
        <v>0.602690914082673</v>
      </c>
      <c r="J272" s="14">
        <f t="shared" si="192"/>
        <v>0.5894412525808325</v>
      </c>
      <c r="K272" s="14">
        <f t="shared" si="192"/>
        <v>0.5562573600926377</v>
      </c>
      <c r="L272" s="14">
        <f t="shared" si="192"/>
        <v>0.5208154065452949</v>
      </c>
      <c r="M272" s="119">
        <f t="shared" si="192"/>
        <v>0.4859204552493335</v>
      </c>
      <c r="N272" s="14">
        <f t="shared" si="192"/>
        <v>0.4524490492487315</v>
      </c>
      <c r="O272" s="14">
        <f t="shared" si="192"/>
        <v>0.4207229754030613</v>
      </c>
      <c r="P272" s="14">
        <f t="shared" si="192"/>
        <v>0.390847015990484</v>
      </c>
      <c r="Q272" s="14">
        <f t="shared" si="192"/>
        <v>0.36282640963335877</v>
      </c>
    </row>
    <row r="273" spans="1:17" ht="12" customHeight="1" hidden="1">
      <c r="A273" s="54"/>
      <c r="B273" s="51"/>
      <c r="C273" s="51" t="s">
        <v>84</v>
      </c>
      <c r="D273" s="51"/>
      <c r="E273" s="28">
        <f aca="true" t="shared" si="193" ref="E273:P273">E154</f>
        <v>0.055020083219874394</v>
      </c>
      <c r="F273" s="28">
        <f t="shared" si="193"/>
        <v>0.17676914110274744</v>
      </c>
      <c r="G273" s="122">
        <f t="shared" si="193"/>
        <v>0.04629848989832808</v>
      </c>
      <c r="H273" s="28">
        <f t="shared" si="193"/>
        <v>0.029880828042006202</v>
      </c>
      <c r="I273" s="28">
        <f t="shared" si="193"/>
        <v>0.029869977138024417</v>
      </c>
      <c r="J273" s="28">
        <f t="shared" si="193"/>
        <v>0.03000000000000025</v>
      </c>
      <c r="K273" s="28">
        <f t="shared" si="193"/>
        <v>0.03000000000000047</v>
      </c>
      <c r="L273" s="28">
        <f t="shared" si="193"/>
        <v>0.030000000000000915</v>
      </c>
      <c r="M273" s="122">
        <f t="shared" si="193"/>
        <v>0.03000000000000025</v>
      </c>
      <c r="N273" s="28">
        <f t="shared" si="193"/>
        <v>0.030000000000000915</v>
      </c>
      <c r="O273" s="28">
        <f t="shared" si="193"/>
        <v>0.030000000000000027</v>
      </c>
      <c r="P273" s="28">
        <f t="shared" si="193"/>
        <v>0.030000000000000027</v>
      </c>
      <c r="Q273" s="1">
        <f>P273*(1+O$8)+P273*(1+O$8)*(1+O$8)/(P271-O$8)</f>
        <v>0.7047913070305531</v>
      </c>
    </row>
    <row r="274" spans="1:17" ht="12" customHeight="1" hidden="1">
      <c r="A274" s="20"/>
      <c r="C274" s="26" t="s">
        <v>154</v>
      </c>
      <c r="D274" s="1"/>
      <c r="E274" s="1">
        <f aca="true" t="shared" si="194" ref="E274:Q274">E273*E272</f>
        <v>0.05063516157365727</v>
      </c>
      <c r="F274" s="1">
        <f t="shared" si="194"/>
        <v>0.14937888384008266</v>
      </c>
      <c r="G274" s="36">
        <f t="shared" si="194"/>
        <v>0.035749193263346385</v>
      </c>
      <c r="H274" s="1">
        <f t="shared" si="194"/>
        <v>0.02089275547609945</v>
      </c>
      <c r="I274" s="1">
        <f t="shared" si="194"/>
        <v>0.018002363824944478</v>
      </c>
      <c r="J274" s="1">
        <f t="shared" si="194"/>
        <v>0.01768323757742512</v>
      </c>
      <c r="K274" s="1">
        <f t="shared" si="194"/>
        <v>0.016687720802779395</v>
      </c>
      <c r="L274" s="1">
        <f t="shared" si="194"/>
        <v>0.015624462196359323</v>
      </c>
      <c r="M274" s="36">
        <f t="shared" si="194"/>
        <v>0.014577613657480127</v>
      </c>
      <c r="N274" s="1">
        <f t="shared" si="194"/>
        <v>0.01357347147746236</v>
      </c>
      <c r="O274" s="1">
        <f t="shared" si="194"/>
        <v>0.01262168926209185</v>
      </c>
      <c r="P274" s="1">
        <f t="shared" si="194"/>
        <v>0.01172541047971453</v>
      </c>
      <c r="Q274" s="1">
        <f t="shared" si="194"/>
        <v>0.2557168994706978</v>
      </c>
    </row>
    <row r="275" spans="1:17" ht="12" customHeight="1">
      <c r="A275" s="20">
        <v>24</v>
      </c>
      <c r="B275" s="4" t="s">
        <v>148</v>
      </c>
      <c r="C275" s="51" t="s">
        <v>155</v>
      </c>
      <c r="D275" s="22">
        <f>SUM(E274:$Q274)/D272</f>
        <v>0.6328688629021407</v>
      </c>
      <c r="E275" s="22">
        <f>SUM(F274:$Q274)/E272</f>
        <v>0.6326541815001236</v>
      </c>
      <c r="F275" s="22">
        <f>SUM(G274:$Q274)/F272</f>
        <v>0.5122234973419973</v>
      </c>
      <c r="G275" s="111">
        <f>SUM(H274:$Q274)/G272</f>
        <v>0.5142882692853232</v>
      </c>
      <c r="H275" s="22">
        <f>SUM(I274:$Q274)/H272</f>
        <v>0.5380598098291678</v>
      </c>
      <c r="I275" s="22">
        <f>SUM(J274:$Q274)/I272</f>
        <v>0.5943519249319125</v>
      </c>
      <c r="J275" s="22">
        <f>SUM(K274:$Q274)/J272</f>
        <v>0.5777119702016233</v>
      </c>
      <c r="K275" s="22">
        <f>SUM(L274:$Q274)/K272</f>
        <v>0.5821757513282603</v>
      </c>
      <c r="L275" s="22">
        <f>SUM(M274:$Q274)/L272</f>
        <v>0.5917933311380286</v>
      </c>
      <c r="M275" s="111">
        <f>SUM(N274:$Q274)/M272</f>
        <v>0.6042912322744193</v>
      </c>
      <c r="N275" s="22">
        <f>SUM(O274:$Q274)/N272</f>
        <v>0.6189956629979356</v>
      </c>
      <c r="O275" s="22">
        <f>SUM(P274:$Q274)/O272</f>
        <v>0.6356731759043991</v>
      </c>
      <c r="P275" s="22">
        <f>SUM(Q274:$Q274)/P272</f>
        <v>0.6542634048840321</v>
      </c>
      <c r="Q275" s="22"/>
    </row>
    <row r="276" spans="1:23" s="78" customFormat="1" ht="12.75" customHeight="1" thickBot="1">
      <c r="A276" s="77">
        <v>25</v>
      </c>
      <c r="B276" s="78" t="s">
        <v>138</v>
      </c>
      <c r="C276" s="91" t="s">
        <v>156</v>
      </c>
      <c r="D276" s="93">
        <f aca="true" t="shared" si="195" ref="D276:P276">D275-D240</f>
        <v>-999.3671311370986</v>
      </c>
      <c r="E276" s="93">
        <f t="shared" si="195"/>
        <v>-999.3673458185009</v>
      </c>
      <c r="F276" s="93">
        <f t="shared" si="195"/>
        <v>-1099.487776502659</v>
      </c>
      <c r="G276" s="116">
        <f t="shared" si="195"/>
        <v>-1099.4857117307158</v>
      </c>
      <c r="H276" s="93">
        <f t="shared" si="195"/>
        <v>-1132.461940190172</v>
      </c>
      <c r="I276" s="93">
        <f t="shared" si="195"/>
        <v>-1166.3956480750694</v>
      </c>
      <c r="J276" s="93">
        <f t="shared" si="195"/>
        <v>-1201.4219880298</v>
      </c>
      <c r="K276" s="93">
        <f t="shared" si="195"/>
        <v>-1237.4775152486734</v>
      </c>
      <c r="L276" s="93">
        <f t="shared" si="195"/>
        <v>-1274.609688398864</v>
      </c>
      <c r="M276" s="116">
        <f t="shared" si="195"/>
        <v>-1312.8532349496277</v>
      </c>
      <c r="N276" s="93">
        <f t="shared" si="195"/>
        <v>-1352.2422563043615</v>
      </c>
      <c r="O276" s="93">
        <f t="shared" si="195"/>
        <v>-1392.811416350476</v>
      </c>
      <c r="P276" s="93">
        <f t="shared" si="195"/>
        <v>-1434.596238807288</v>
      </c>
      <c r="Q276" s="133"/>
      <c r="R276" s="82"/>
      <c r="S276" s="82"/>
      <c r="T276" s="82"/>
      <c r="U276" s="82"/>
      <c r="V276" s="82"/>
      <c r="W276" s="82"/>
    </row>
    <row r="277" spans="1:17" ht="7.5" customHeight="1">
      <c r="A277" s="20"/>
      <c r="D277" s="49"/>
      <c r="E277" s="49"/>
      <c r="F277" s="49"/>
      <c r="G277" s="40"/>
      <c r="H277" s="49"/>
      <c r="I277" s="49"/>
      <c r="J277" s="27"/>
      <c r="K277" s="27"/>
      <c r="L277" s="27"/>
      <c r="M277" s="32"/>
      <c r="N277" s="27"/>
      <c r="O277" s="27"/>
      <c r="P277" s="27"/>
      <c r="Q277" s="27"/>
    </row>
    <row r="278" spans="1:17" ht="12.75" customHeight="1">
      <c r="A278" s="20">
        <v>26</v>
      </c>
      <c r="C278" s="86" t="s">
        <v>157</v>
      </c>
      <c r="D278" s="83"/>
      <c r="E278" s="83">
        <f>E136-D119*D256</f>
        <v>100.91743119266054</v>
      </c>
      <c r="F278" s="83">
        <f aca="true" t="shared" si="196" ref="F278:P278">F136-E119*E256</f>
        <v>-134.7936141547559</v>
      </c>
      <c r="G278" s="36">
        <f t="shared" si="196"/>
        <v>109.66129899807473</v>
      </c>
      <c r="H278" s="83">
        <f t="shared" si="196"/>
        <v>99.87353614805427</v>
      </c>
      <c r="I278" s="83">
        <f t="shared" si="196"/>
        <v>94.25420507297602</v>
      </c>
      <c r="J278" s="83">
        <f t="shared" si="196"/>
        <v>89.18595022328986</v>
      </c>
      <c r="K278" s="83">
        <f t="shared" si="196"/>
        <v>84.19880245713993</v>
      </c>
      <c r="L278" s="83">
        <f t="shared" si="196"/>
        <v>79.54210854877756</v>
      </c>
      <c r="M278" s="36">
        <f t="shared" si="196"/>
        <v>75.15048835730025</v>
      </c>
      <c r="N278" s="83">
        <f t="shared" si="196"/>
        <v>71.00352814550777</v>
      </c>
      <c r="O278" s="83">
        <f t="shared" si="196"/>
        <v>67.08614774242855</v>
      </c>
      <c r="P278" s="83">
        <f t="shared" si="196"/>
        <v>63.38509092983836</v>
      </c>
      <c r="Q278" s="1">
        <f>P278*(1+O$8)+P278*(1+O$8)*(1+O$8)/(P256-O$8)</f>
        <v>1294.9951514137563</v>
      </c>
    </row>
    <row r="279" spans="1:20" s="51" customFormat="1" ht="12" customHeight="1">
      <c r="A279" s="54">
        <v>27</v>
      </c>
      <c r="C279" s="47" t="s">
        <v>22</v>
      </c>
      <c r="D279" s="22"/>
      <c r="E279" s="22">
        <f aca="true" t="shared" si="197" ref="E279:P279">E136+E132*(1-$F$1)-(D118+D119)*D263</f>
        <v>100.94543119266055</v>
      </c>
      <c r="F279" s="22">
        <f t="shared" si="197"/>
        <v>-134.99528832444233</v>
      </c>
      <c r="G279" s="111">
        <f t="shared" si="197"/>
        <v>109.41984904719638</v>
      </c>
      <c r="H279" s="22">
        <f t="shared" si="197"/>
        <v>99.65043619613864</v>
      </c>
      <c r="I279" s="22">
        <f t="shared" si="197"/>
        <v>94.17164802425968</v>
      </c>
      <c r="J279" s="22">
        <f t="shared" si="197"/>
        <v>88.89222879692318</v>
      </c>
      <c r="K279" s="22">
        <f t="shared" si="197"/>
        <v>84.28965803426316</v>
      </c>
      <c r="L279" s="22">
        <f t="shared" si="197"/>
        <v>78.09777325248616</v>
      </c>
      <c r="M279" s="111">
        <f t="shared" si="197"/>
        <v>74.4955557607199</v>
      </c>
      <c r="N279" s="22">
        <f t="shared" si="197"/>
        <v>70.46355085679065</v>
      </c>
      <c r="O279" s="22">
        <f t="shared" si="197"/>
        <v>66.59305957361131</v>
      </c>
      <c r="P279" s="22">
        <f t="shared" si="197"/>
        <v>62.91761879012309</v>
      </c>
      <c r="Q279" s="44"/>
      <c r="R279" s="82"/>
      <c r="S279" s="82"/>
      <c r="T279" s="82"/>
    </row>
    <row r="280" spans="1:17" ht="12.75" customHeight="1" hidden="1">
      <c r="A280" s="20"/>
      <c r="C280" s="66"/>
      <c r="D280" s="83"/>
      <c r="E280" s="83"/>
      <c r="F280" s="83"/>
      <c r="G280" s="36"/>
      <c r="H280" s="83"/>
      <c r="I280" s="83"/>
      <c r="J280" s="83"/>
      <c r="K280" s="83"/>
      <c r="L280" s="83"/>
      <c r="M280" s="36"/>
      <c r="N280" s="83"/>
      <c r="O280" s="83"/>
      <c r="P280" s="83"/>
      <c r="Q280" s="84"/>
    </row>
    <row r="281" spans="1:17" ht="12.75" customHeight="1" hidden="1">
      <c r="A281" s="20"/>
      <c r="C281" s="26" t="s">
        <v>143</v>
      </c>
      <c r="D281" s="83"/>
      <c r="E281" s="83">
        <f aca="true" t="shared" si="198" ref="E281:P281">E257</f>
        <v>0.9068156895028598</v>
      </c>
      <c r="F281" s="83">
        <f t="shared" si="198"/>
        <v>0.8202224410270936</v>
      </c>
      <c r="G281" s="36">
        <f t="shared" si="198"/>
        <v>0.7370249153561984</v>
      </c>
      <c r="H281" s="83">
        <f t="shared" si="198"/>
        <v>0.6541112920613621</v>
      </c>
      <c r="I281" s="83">
        <f t="shared" si="198"/>
        <v>0.5405810551004653</v>
      </c>
      <c r="J281" s="83">
        <f t="shared" si="198"/>
        <v>0.5383792601224289</v>
      </c>
      <c r="K281" s="83">
        <f t="shared" si="198"/>
        <v>0.5081495995610799</v>
      </c>
      <c r="L281" s="83">
        <f t="shared" si="198"/>
        <v>0.4740797376562788</v>
      </c>
      <c r="M281" s="36">
        <f t="shared" si="198"/>
        <v>0.44005810433917764</v>
      </c>
      <c r="N281" s="83">
        <f t="shared" si="198"/>
        <v>0.40732098993320826</v>
      </c>
      <c r="O281" s="83">
        <f t="shared" si="198"/>
        <v>0.3763373327346276</v>
      </c>
      <c r="P281" s="83">
        <f t="shared" si="198"/>
        <v>0.3472747053658804</v>
      </c>
      <c r="Q281" s="87">
        <f>P281/(1+$P256)</f>
        <v>0.32016213113963726</v>
      </c>
    </row>
    <row r="282" spans="1:17" ht="12.75" customHeight="1" hidden="1">
      <c r="A282" s="20"/>
      <c r="C282" s="26" t="s">
        <v>158</v>
      </c>
      <c r="D282" s="1"/>
      <c r="E282" s="1">
        <f aca="true" t="shared" si="199" ref="E282:Q282">E278*E281</f>
        <v>91.51350994982988</v>
      </c>
      <c r="F282" s="1">
        <f t="shared" si="199"/>
        <v>-110.56074723687807</v>
      </c>
      <c r="G282" s="36">
        <f t="shared" si="199"/>
        <v>80.82310961190679</v>
      </c>
      <c r="H282" s="1">
        <f t="shared" si="199"/>
        <v>65.32840777254093</v>
      </c>
      <c r="I282" s="1">
        <f t="shared" si="199"/>
        <v>50.952037626005</v>
      </c>
      <c r="J282" s="1">
        <f t="shared" si="199"/>
        <v>48.01586589453057</v>
      </c>
      <c r="K282" s="1">
        <f t="shared" si="199"/>
        <v>42.785587752118126</v>
      </c>
      <c r="L282" s="1">
        <f t="shared" si="199"/>
        <v>37.70930195343172</v>
      </c>
      <c r="M282" s="36">
        <f t="shared" si="199"/>
        <v>33.07058144667699</v>
      </c>
      <c r="N282" s="1">
        <f t="shared" si="199"/>
        <v>28.92122737297864</v>
      </c>
      <c r="O282" s="1">
        <f t="shared" si="199"/>
        <v>25.24702190482672</v>
      </c>
      <c r="P282" s="1">
        <f t="shared" si="199"/>
        <v>22.012038777249156</v>
      </c>
      <c r="Q282" s="1">
        <f t="shared" si="199"/>
        <v>414.6084074921254</v>
      </c>
    </row>
    <row r="283" spans="1:17" ht="10.5" customHeight="1">
      <c r="A283" s="20">
        <v>28</v>
      </c>
      <c r="C283" s="51" t="s">
        <v>159</v>
      </c>
      <c r="D283" s="22">
        <f>SUM(E282:$Q282)/D257</f>
        <v>830.4263503173419</v>
      </c>
      <c r="E283" s="22">
        <f>SUM(F282:$Q282)/E257</f>
        <v>814.843467003315</v>
      </c>
      <c r="F283" s="22">
        <f>SUM(G282:$Q282)/F257</f>
        <v>1035.6624558341366</v>
      </c>
      <c r="G283" s="111">
        <f>SUM(H282:$Q282)/G257</f>
        <v>1042.9097605485977</v>
      </c>
      <c r="H283" s="22">
        <f>SUM(I282:$Q282)/H257</f>
        <v>1075.2330356559016</v>
      </c>
      <c r="I283" s="22">
        <f>SUM(J282:$Q282)/I257</f>
        <v>1206.7941087441484</v>
      </c>
      <c r="J283" s="22">
        <f>SUM(K282:$Q282)/J257</f>
        <v>1122.5435514770295</v>
      </c>
      <c r="K283" s="22">
        <f>SUM(L282:$Q282)/K257</f>
        <v>1105.1245133959567</v>
      </c>
      <c r="L283" s="22">
        <f>SUM(M282:$Q282)/L257</f>
        <v>1105.002461365834</v>
      </c>
      <c r="M283" s="111">
        <f>SUM(N282:$Q282)/M257</f>
        <v>1115.2815746551992</v>
      </c>
      <c r="N283" s="22">
        <f>SUM(O282:$Q282)/N257</f>
        <v>1133.915215736703</v>
      </c>
      <c r="O283" s="22">
        <f>SUM(P282:$Q282)/O257</f>
        <v>1160.183718943598</v>
      </c>
      <c r="P283" s="22">
        <f>SUM(Q282:$Q282)/P257</f>
        <v>1193.8917551029344</v>
      </c>
      <c r="Q283" s="84"/>
    </row>
    <row r="284" spans="1:23" s="78" customFormat="1" ht="12.75" customHeight="1" thickBot="1">
      <c r="A284" s="77">
        <v>29</v>
      </c>
      <c r="B284" s="78" t="s">
        <v>160</v>
      </c>
      <c r="C284" s="91" t="s">
        <v>161</v>
      </c>
      <c r="D284" s="93">
        <f aca="true" t="shared" si="200" ref="D284:P284">D283+D119</f>
        <v>830.4263503173419</v>
      </c>
      <c r="E284" s="93">
        <f t="shared" si="200"/>
        <v>816.0257330131673</v>
      </c>
      <c r="F284" s="93">
        <f t="shared" si="200"/>
        <v>1036.9309547770542</v>
      </c>
      <c r="G284" s="116">
        <f t="shared" si="200"/>
        <v>1044.30893750333</v>
      </c>
      <c r="H284" s="93">
        <f t="shared" si="200"/>
        <v>1076.632212610634</v>
      </c>
      <c r="I284" s="93">
        <f t="shared" si="200"/>
        <v>1208.1932856988808</v>
      </c>
      <c r="J284" s="93">
        <f t="shared" si="200"/>
        <v>1123.942728431762</v>
      </c>
      <c r="K284" s="93">
        <f t="shared" si="200"/>
        <v>1106.523690350689</v>
      </c>
      <c r="L284" s="93">
        <f t="shared" si="200"/>
        <v>1106.4016383205665</v>
      </c>
      <c r="M284" s="116">
        <f t="shared" si="200"/>
        <v>1116.6807516099316</v>
      </c>
      <c r="N284" s="93">
        <f t="shared" si="200"/>
        <v>1135.3143926914354</v>
      </c>
      <c r="O284" s="93">
        <f t="shared" si="200"/>
        <v>1161.5828958983304</v>
      </c>
      <c r="P284" s="93">
        <f t="shared" si="200"/>
        <v>1195.2909320576669</v>
      </c>
      <c r="Q284" s="109"/>
      <c r="R284" s="82"/>
      <c r="S284" s="82"/>
      <c r="T284" s="82"/>
      <c r="U284" s="82"/>
      <c r="V284" s="82"/>
      <c r="W284" s="82"/>
    </row>
    <row r="285" spans="1:17" s="82" customFormat="1" ht="6.75" customHeight="1">
      <c r="A285" s="65"/>
      <c r="C285" s="66"/>
      <c r="D285" s="67"/>
      <c r="E285" s="67"/>
      <c r="F285" s="67"/>
      <c r="G285" s="118"/>
      <c r="H285" s="67"/>
      <c r="I285" s="67"/>
      <c r="J285" s="67"/>
      <c r="K285" s="67"/>
      <c r="L285" s="67"/>
      <c r="M285" s="118"/>
      <c r="N285" s="67"/>
      <c r="O285" s="67"/>
      <c r="P285" s="67"/>
      <c r="Q285" s="84"/>
    </row>
    <row r="286" spans="1:17" s="82" customFormat="1" ht="12" customHeight="1" hidden="1">
      <c r="A286" s="88"/>
      <c r="C286" s="82" t="s">
        <v>22</v>
      </c>
      <c r="D286" s="71"/>
      <c r="E286" s="71">
        <f aca="true" t="shared" si="201" ref="E286:P286">E279</f>
        <v>100.94543119266055</v>
      </c>
      <c r="F286" s="71">
        <f t="shared" si="201"/>
        <v>-134.99528832444233</v>
      </c>
      <c r="G286" s="114">
        <f t="shared" si="201"/>
        <v>109.41984904719638</v>
      </c>
      <c r="H286" s="71">
        <f t="shared" si="201"/>
        <v>99.65043619613864</v>
      </c>
      <c r="I286" s="71">
        <f t="shared" si="201"/>
        <v>94.17164802425968</v>
      </c>
      <c r="J286" s="71">
        <f t="shared" si="201"/>
        <v>88.89222879692318</v>
      </c>
      <c r="K286" s="71">
        <f t="shared" si="201"/>
        <v>84.28965803426316</v>
      </c>
      <c r="L286" s="71">
        <f t="shared" si="201"/>
        <v>78.09777325248616</v>
      </c>
      <c r="M286" s="114">
        <f t="shared" si="201"/>
        <v>74.4955557607199</v>
      </c>
      <c r="N286" s="71">
        <f t="shared" si="201"/>
        <v>70.46355085679065</v>
      </c>
      <c r="O286" s="71">
        <f t="shared" si="201"/>
        <v>66.59305957361131</v>
      </c>
      <c r="P286" s="71">
        <f t="shared" si="201"/>
        <v>62.91761879012309</v>
      </c>
      <c r="Q286" s="1">
        <f>P286*(1+O$8)+P286*(1+O$8)*(1+O$8)/(P263-O$8)</f>
        <v>1030.0634790628828</v>
      </c>
    </row>
    <row r="287" spans="1:17" ht="12" customHeight="1" hidden="1">
      <c r="A287" s="20"/>
      <c r="C287" s="26" t="s">
        <v>162</v>
      </c>
      <c r="D287" s="1"/>
      <c r="E287" s="1">
        <f aca="true" t="shared" si="202" ref="E287:Q287">E286*E264</f>
        <v>93.48573145809061</v>
      </c>
      <c r="F287" s="1">
        <f t="shared" si="202"/>
        <v>-115.9193132989374</v>
      </c>
      <c r="G287" s="36">
        <f t="shared" si="202"/>
        <v>87.32790052786908</v>
      </c>
      <c r="H287" s="1">
        <f t="shared" si="202"/>
        <v>74.13281893102683</v>
      </c>
      <c r="I287" s="1">
        <f t="shared" si="202"/>
        <v>65.65662858667856</v>
      </c>
      <c r="J287" s="1">
        <f t="shared" si="202"/>
        <v>58.78580460135573</v>
      </c>
      <c r="K287" s="1">
        <f t="shared" si="202"/>
        <v>55.554251618814945</v>
      </c>
      <c r="L287" s="1">
        <f t="shared" si="202"/>
        <v>40.8230202687792</v>
      </c>
      <c r="M287" s="36">
        <f t="shared" si="202"/>
        <v>34.423168175213085</v>
      </c>
      <c r="N287" s="1">
        <f t="shared" si="202"/>
        <v>29.25798193954867</v>
      </c>
      <c r="O287" s="1">
        <f t="shared" si="202"/>
        <v>25.011251033070437</v>
      </c>
      <c r="P287" s="1">
        <f t="shared" si="202"/>
        <v>21.451286560030336</v>
      </c>
      <c r="Q287" s="1">
        <f t="shared" si="202"/>
        <v>319.5121672186905</v>
      </c>
    </row>
    <row r="288" spans="1:17" ht="12" customHeight="1">
      <c r="A288" s="20">
        <v>30</v>
      </c>
      <c r="C288" s="51" t="s">
        <v>163</v>
      </c>
      <c r="D288" s="22">
        <f>SUM(E287:$Q287)/D264</f>
        <v>789.5026976202305</v>
      </c>
      <c r="E288" s="22">
        <f>SUM(F287:$Q287)/E264</f>
        <v>751.5556831059496</v>
      </c>
      <c r="F288" s="22">
        <f>SUM(G287:$Q287)/F264</f>
        <v>945.5505646782319</v>
      </c>
      <c r="G288" s="111">
        <f>SUM(H287:$Q287)/G264</f>
        <v>907.917618103077</v>
      </c>
      <c r="H288" s="22">
        <f>SUM(I287:$Q287)/H264</f>
        <v>874.3789083409013</v>
      </c>
      <c r="I288" s="22">
        <f>SUM(J287:$Q287)/I264</f>
        <v>838.8088720467524</v>
      </c>
      <c r="J288" s="22">
        <f>SUM(K287:$Q287)/J264</f>
        <v>795.4344995466079</v>
      </c>
      <c r="K288" s="22">
        <f>SUM(L287:$Q287)/K264</f>
        <v>713.833817340608</v>
      </c>
      <c r="L288" s="22">
        <f>SUM(M287:$Q287)/L264</f>
        <v>821.9667558580785</v>
      </c>
      <c r="M288" s="111">
        <f>SUM(N287:$Q287)/M264</f>
        <v>855.3273918449061</v>
      </c>
      <c r="N288" s="22">
        <f>SUM(O287:$Q287)/N264</f>
        <v>881.3963067612173</v>
      </c>
      <c r="O288" s="22">
        <f>SUM(P287:$Q287)/O264</f>
        <v>907.8234255411097</v>
      </c>
      <c r="P288" s="22">
        <f>SUM(Q287:$Q287)/P264</f>
        <v>937.1440113680156</v>
      </c>
      <c r="Q288" s="22"/>
    </row>
    <row r="289" spans="1:23" s="78" customFormat="1" ht="12.75" customHeight="1" thickBot="1">
      <c r="A289" s="77">
        <v>31</v>
      </c>
      <c r="B289" s="78" t="s">
        <v>164</v>
      </c>
      <c r="C289" s="91"/>
      <c r="D289" s="93">
        <f aca="true" t="shared" si="203" ref="D289:P289">D288+D119-(D240-D236)</f>
        <v>789.5026976202298</v>
      </c>
      <c r="E289" s="93">
        <f t="shared" si="203"/>
        <v>752.7379491158008</v>
      </c>
      <c r="F289" s="93">
        <f t="shared" si="203"/>
        <v>946.8190636211485</v>
      </c>
      <c r="G289" s="116">
        <f t="shared" si="203"/>
        <v>909.3167950578083</v>
      </c>
      <c r="H289" s="93">
        <f t="shared" si="203"/>
        <v>875.7780852956326</v>
      </c>
      <c r="I289" s="93">
        <f t="shared" si="203"/>
        <v>840.2080490014836</v>
      </c>
      <c r="J289" s="93">
        <f t="shared" si="203"/>
        <v>796.8336765013388</v>
      </c>
      <c r="K289" s="93">
        <f t="shared" si="203"/>
        <v>715.2329942953389</v>
      </c>
      <c r="L289" s="93">
        <f t="shared" si="203"/>
        <v>823.3659328128094</v>
      </c>
      <c r="M289" s="116">
        <f t="shared" si="203"/>
        <v>856.726568799637</v>
      </c>
      <c r="N289" s="93">
        <f t="shared" si="203"/>
        <v>882.7954837159477</v>
      </c>
      <c r="O289" s="93">
        <f t="shared" si="203"/>
        <v>909.22260249584</v>
      </c>
      <c r="P289" s="93">
        <f t="shared" si="203"/>
        <v>938.5431883227457</v>
      </c>
      <c r="Q289" s="109"/>
      <c r="R289" s="82"/>
      <c r="S289" s="82"/>
      <c r="T289" s="82"/>
      <c r="U289" s="82"/>
      <c r="V289" s="82"/>
      <c r="W289" s="82"/>
    </row>
    <row r="290" spans="2:13" ht="12.75" customHeight="1">
      <c r="B290" s="16"/>
      <c r="M290" s="113"/>
    </row>
    <row r="291" spans="2:13" ht="12.75" customHeight="1">
      <c r="B291" s="16"/>
      <c r="M291" s="113"/>
    </row>
    <row r="292" spans="2:13" ht="12.75" customHeight="1">
      <c r="B292" s="16"/>
      <c r="M292" s="113"/>
    </row>
    <row r="293" spans="2:13" ht="12.75" customHeight="1">
      <c r="B293" s="16"/>
      <c r="M293" s="113"/>
    </row>
    <row r="294" spans="2:13" ht="12.75" customHeight="1">
      <c r="B294" s="16"/>
      <c r="M294" s="113"/>
    </row>
    <row r="295" spans="2:13" ht="12.75" customHeight="1">
      <c r="B295" s="16"/>
      <c r="M295" s="113"/>
    </row>
    <row r="296" spans="2:13" ht="12.75" customHeight="1">
      <c r="B296" s="16"/>
      <c r="M296" s="113"/>
    </row>
    <row r="297" spans="2:13" ht="12.75" customHeight="1">
      <c r="B297" s="16"/>
      <c r="M297" s="113"/>
    </row>
    <row r="298" spans="2:13" ht="12.75" customHeight="1">
      <c r="B298" s="16"/>
      <c r="M298" s="113"/>
    </row>
    <row r="299" spans="2:13" ht="12.75" customHeight="1">
      <c r="B299" s="16"/>
      <c r="M299" s="113"/>
    </row>
    <row r="300" spans="2:13" ht="12.75" customHeight="1">
      <c r="B300" s="16"/>
      <c r="M300" s="113"/>
    </row>
    <row r="301" spans="2:13" ht="12.75" customHeight="1">
      <c r="B301" s="16"/>
      <c r="M301" s="113"/>
    </row>
    <row r="302" spans="2:13" ht="12.75" customHeight="1">
      <c r="B302" s="16"/>
      <c r="M302" s="113"/>
    </row>
    <row r="303" spans="2:13" ht="12.75" customHeight="1">
      <c r="B303" s="16"/>
      <c r="M303" s="113"/>
    </row>
    <row r="304" spans="1:9" ht="12" customHeight="1" thickBot="1">
      <c r="A304" s="20"/>
      <c r="B304" s="27"/>
      <c r="C304" s="27"/>
      <c r="D304" s="27"/>
      <c r="E304" s="27"/>
      <c r="F304" s="27"/>
      <c r="G304" s="32"/>
      <c r="H304" s="16"/>
      <c r="I304" s="134" t="s">
        <v>176</v>
      </c>
    </row>
    <row r="305" spans="1:15" ht="12.75" customHeight="1" thickBot="1">
      <c r="A305" s="20"/>
      <c r="B305" s="27"/>
      <c r="C305" s="27"/>
      <c r="D305" s="27"/>
      <c r="E305" s="27"/>
      <c r="F305" s="27"/>
      <c r="G305" s="32"/>
      <c r="H305" s="16"/>
      <c r="N305" s="162" t="s">
        <v>45</v>
      </c>
      <c r="O305" s="163">
        <v>0.05</v>
      </c>
    </row>
    <row r="306" spans="1:17" ht="12" customHeight="1" thickBot="1">
      <c r="A306" s="20"/>
      <c r="B306"/>
      <c r="C306"/>
      <c r="D306" s="127">
        <v>0</v>
      </c>
      <c r="E306" s="127">
        <v>1</v>
      </c>
      <c r="F306" s="127">
        <f aca="true" t="shared" si="204" ref="F306:Q306">E306+1</f>
        <v>2</v>
      </c>
      <c r="G306" s="137">
        <f t="shared" si="204"/>
        <v>3</v>
      </c>
      <c r="H306" s="127">
        <f t="shared" si="204"/>
        <v>4</v>
      </c>
      <c r="I306" s="127">
        <f t="shared" si="204"/>
        <v>5</v>
      </c>
      <c r="J306" s="127">
        <f t="shared" si="204"/>
        <v>6</v>
      </c>
      <c r="K306" s="127">
        <f t="shared" si="204"/>
        <v>7</v>
      </c>
      <c r="L306" s="127">
        <f t="shared" si="204"/>
        <v>8</v>
      </c>
      <c r="M306" s="137">
        <f t="shared" si="204"/>
        <v>9</v>
      </c>
      <c r="N306" s="127">
        <f t="shared" si="204"/>
        <v>10</v>
      </c>
      <c r="O306" s="127">
        <f t="shared" si="204"/>
        <v>11</v>
      </c>
      <c r="P306" s="127">
        <f t="shared" si="204"/>
        <v>12</v>
      </c>
      <c r="Q306" s="127">
        <f t="shared" si="204"/>
        <v>13</v>
      </c>
    </row>
    <row r="307" spans="1:17" ht="12" customHeight="1">
      <c r="A307" s="54">
        <v>27</v>
      </c>
      <c r="B307" s="51"/>
      <c r="C307" s="47" t="s">
        <v>81</v>
      </c>
      <c r="D307" s="51"/>
      <c r="E307" s="72">
        <f aca="true" t="shared" si="205" ref="E307:Q307">E55</f>
        <v>68</v>
      </c>
      <c r="F307" s="72">
        <f t="shared" si="205"/>
        <v>-102</v>
      </c>
      <c r="G307" s="73">
        <f t="shared" si="205"/>
        <v>96</v>
      </c>
      <c r="H307" s="72">
        <f t="shared" si="205"/>
        <v>128.03000000000003</v>
      </c>
      <c r="I307" s="72">
        <f t="shared" si="205"/>
        <v>131.87789999999967</v>
      </c>
      <c r="J307" s="72">
        <f t="shared" si="205"/>
        <v>135.57948366666653</v>
      </c>
      <c r="K307" s="72">
        <f t="shared" si="205"/>
        <v>139.64686817666637</v>
      </c>
      <c r="L307" s="72">
        <f t="shared" si="205"/>
        <v>143.83627422196707</v>
      </c>
      <c r="M307" s="73">
        <f t="shared" si="205"/>
        <v>148.15136244862515</v>
      </c>
      <c r="N307" s="72">
        <f t="shared" si="205"/>
        <v>152.59590332208427</v>
      </c>
      <c r="O307" s="72">
        <f t="shared" si="205"/>
        <v>157.17378042174698</v>
      </c>
      <c r="P307" s="72">
        <f t="shared" si="205"/>
        <v>161.88899383440037</v>
      </c>
      <c r="Q307" s="72">
        <f t="shared" si="205"/>
        <v>166.74566364943018</v>
      </c>
    </row>
    <row r="308" spans="1:23" s="7" customFormat="1" ht="12" customHeight="1">
      <c r="A308" s="54">
        <v>28</v>
      </c>
      <c r="B308" s="47"/>
      <c r="C308" s="47" t="s">
        <v>82</v>
      </c>
      <c r="D308" s="47"/>
      <c r="E308" s="72">
        <f aca="true" t="shared" si="206" ref="E308:Q308">E56</f>
        <v>110</v>
      </c>
      <c r="F308" s="72">
        <f t="shared" si="206"/>
        <v>-160</v>
      </c>
      <c r="G308" s="73">
        <f t="shared" si="206"/>
        <v>142.2</v>
      </c>
      <c r="H308" s="72">
        <f t="shared" si="206"/>
        <v>141.23000000000002</v>
      </c>
      <c r="I308" s="72">
        <f t="shared" si="206"/>
        <v>145.47389999999967</v>
      </c>
      <c r="J308" s="72">
        <f t="shared" si="206"/>
        <v>149.58336366666646</v>
      </c>
      <c r="K308" s="72">
        <f t="shared" si="206"/>
        <v>154.07086457666628</v>
      </c>
      <c r="L308" s="72">
        <f t="shared" si="206"/>
        <v>158.69299051396695</v>
      </c>
      <c r="M308" s="73">
        <f t="shared" si="206"/>
        <v>163.45378022938502</v>
      </c>
      <c r="N308" s="72">
        <f t="shared" si="206"/>
        <v>168.35739363626706</v>
      </c>
      <c r="O308" s="72">
        <f t="shared" si="206"/>
        <v>173.40811544535524</v>
      </c>
      <c r="P308" s="72">
        <f t="shared" si="206"/>
        <v>178.61035890871696</v>
      </c>
      <c r="Q308" s="72">
        <f t="shared" si="206"/>
        <v>183.96866967597617</v>
      </c>
      <c r="R308" s="66"/>
      <c r="S308" s="66"/>
      <c r="T308" s="66"/>
      <c r="U308" s="66"/>
      <c r="V308" s="66"/>
      <c r="W308" s="66"/>
    </row>
    <row r="309" spans="1:23" s="7" customFormat="1" ht="12" customHeight="1">
      <c r="A309" s="54">
        <v>29</v>
      </c>
      <c r="B309" s="47"/>
      <c r="C309" s="47" t="s">
        <v>83</v>
      </c>
      <c r="D309" s="47"/>
      <c r="E309" s="72">
        <f aca="true" t="shared" si="207" ref="E309:Q309">E57</f>
        <v>60</v>
      </c>
      <c r="F309" s="72">
        <f t="shared" si="207"/>
        <v>-40</v>
      </c>
      <c r="G309" s="73">
        <f t="shared" si="207"/>
        <v>66</v>
      </c>
      <c r="H309" s="72">
        <f t="shared" si="207"/>
        <v>33</v>
      </c>
      <c r="I309" s="72">
        <f t="shared" si="207"/>
        <v>33.989999999999995</v>
      </c>
      <c r="J309" s="72">
        <f t="shared" si="207"/>
        <v>35.00969999999994</v>
      </c>
      <c r="K309" s="72">
        <f t="shared" si="207"/>
        <v>36.059990999999926</v>
      </c>
      <c r="L309" s="72">
        <f t="shared" si="207"/>
        <v>37.14179072999987</v>
      </c>
      <c r="M309" s="73">
        <f t="shared" si="207"/>
        <v>38.25604445189987</v>
      </c>
      <c r="N309" s="72">
        <f t="shared" si="207"/>
        <v>39.403725785457</v>
      </c>
      <c r="O309" s="72">
        <f t="shared" si="207"/>
        <v>40.585837559020675</v>
      </c>
      <c r="P309" s="72">
        <f t="shared" si="207"/>
        <v>41.803412685791415</v>
      </c>
      <c r="Q309" s="72">
        <f t="shared" si="207"/>
        <v>1521.3655323449022</v>
      </c>
      <c r="R309" s="66"/>
      <c r="S309" s="66"/>
      <c r="T309" s="66"/>
      <c r="U309" s="66"/>
      <c r="V309" s="66"/>
      <c r="W309" s="66"/>
    </row>
    <row r="310" spans="1:23" s="7" customFormat="1" ht="12" customHeight="1">
      <c r="A310" s="54">
        <v>30</v>
      </c>
      <c r="B310" s="47"/>
      <c r="C310" s="47" t="s">
        <v>84</v>
      </c>
      <c r="D310" s="76"/>
      <c r="E310" s="72">
        <f aca="true" t="shared" si="208" ref="E310:Q310">E58</f>
        <v>128</v>
      </c>
      <c r="F310" s="72">
        <f t="shared" si="208"/>
        <v>-142</v>
      </c>
      <c r="G310" s="73">
        <f t="shared" si="208"/>
        <v>162</v>
      </c>
      <c r="H310" s="72">
        <f t="shared" si="208"/>
        <v>161.03000000000003</v>
      </c>
      <c r="I310" s="72">
        <f t="shared" si="208"/>
        <v>165.86789999999968</v>
      </c>
      <c r="J310" s="72">
        <f t="shared" si="208"/>
        <v>170.5891836666665</v>
      </c>
      <c r="K310" s="72">
        <f t="shared" si="208"/>
        <v>175.70685917666628</v>
      </c>
      <c r="L310" s="72">
        <f t="shared" si="208"/>
        <v>180.97806495196693</v>
      </c>
      <c r="M310" s="73">
        <f t="shared" si="208"/>
        <v>186.40740690052502</v>
      </c>
      <c r="N310" s="72">
        <f t="shared" si="208"/>
        <v>191.99962910754127</v>
      </c>
      <c r="O310" s="72">
        <f t="shared" si="208"/>
        <v>197.75961798076764</v>
      </c>
      <c r="P310" s="72">
        <f t="shared" si="208"/>
        <v>203.69240652019178</v>
      </c>
      <c r="Q310" s="72">
        <f t="shared" si="208"/>
        <v>209.80317871579754</v>
      </c>
      <c r="R310" s="66"/>
      <c r="S310" s="66"/>
      <c r="T310" s="66"/>
      <c r="U310" s="66"/>
      <c r="V310" s="66"/>
      <c r="W310" s="66"/>
    </row>
    <row r="311" spans="1:23" s="7" customFormat="1" ht="12" customHeight="1">
      <c r="A311" s="65"/>
      <c r="B311" s="66"/>
      <c r="C311" s="66"/>
      <c r="D311" s="113"/>
      <c r="E311" s="74"/>
      <c r="F311" s="74"/>
      <c r="G311" s="75"/>
      <c r="H311" s="74"/>
      <c r="I311" s="74"/>
      <c r="J311" s="74"/>
      <c r="K311" s="74"/>
      <c r="L311" s="74"/>
      <c r="M311" s="75"/>
      <c r="N311" s="74"/>
      <c r="O311" s="74"/>
      <c r="P311" s="74"/>
      <c r="Q311" s="74"/>
      <c r="R311" s="66"/>
      <c r="S311" s="66"/>
      <c r="T311" s="66"/>
      <c r="U311" s="66"/>
      <c r="V311" s="66"/>
      <c r="W311" s="66"/>
    </row>
    <row r="312" spans="1:17" ht="12.75" customHeight="1">
      <c r="A312" s="20">
        <v>42</v>
      </c>
      <c r="C312" s="26" t="s">
        <v>137</v>
      </c>
      <c r="D312" s="83">
        <f aca="true" t="shared" si="209" ref="D312:P312">D151</f>
        <v>452.6606740080724</v>
      </c>
      <c r="E312" s="83">
        <f t="shared" si="209"/>
        <v>466.4001346687989</v>
      </c>
      <c r="F312" s="83">
        <f t="shared" si="209"/>
        <v>481.376146788991</v>
      </c>
      <c r="G312" s="36">
        <f t="shared" si="209"/>
        <v>495.00000000000017</v>
      </c>
      <c r="H312" s="83">
        <f t="shared" si="209"/>
        <v>509.8500000000002</v>
      </c>
      <c r="I312" s="83">
        <f t="shared" si="209"/>
        <v>525.1455000000002</v>
      </c>
      <c r="J312" s="83">
        <f t="shared" si="209"/>
        <v>540.8998650000003</v>
      </c>
      <c r="K312" s="83">
        <f t="shared" si="209"/>
        <v>557.1268609500003</v>
      </c>
      <c r="L312" s="83">
        <f t="shared" si="209"/>
        <v>573.8406667785005</v>
      </c>
      <c r="M312" s="36">
        <f t="shared" si="209"/>
        <v>591.0558867818555</v>
      </c>
      <c r="N312" s="83">
        <f t="shared" si="209"/>
        <v>608.7875633853113</v>
      </c>
      <c r="O312" s="83">
        <f t="shared" si="209"/>
        <v>627.0511902868706</v>
      </c>
      <c r="P312" s="83">
        <f t="shared" si="209"/>
        <v>645.8627259954767</v>
      </c>
      <c r="Q312" s="83"/>
    </row>
    <row r="313" spans="1:17" ht="12.75" customHeight="1">
      <c r="A313" s="20"/>
      <c r="C313" s="26" t="s">
        <v>177</v>
      </c>
      <c r="D313" s="83">
        <f>D161-D323</f>
        <v>117.35647103912947</v>
      </c>
      <c r="E313" s="83">
        <f aca="true" t="shared" si="210" ref="E313:P313">E161-E323</f>
        <v>120.91855343265092</v>
      </c>
      <c r="F313" s="83">
        <f t="shared" si="210"/>
        <v>124.80122324158947</v>
      </c>
      <c r="G313" s="36">
        <f t="shared" si="210"/>
        <v>128.33333333333258</v>
      </c>
      <c r="H313" s="83">
        <f t="shared" si="210"/>
        <v>132.18333333333294</v>
      </c>
      <c r="I313" s="83">
        <f t="shared" si="210"/>
        <v>136.1488333333334</v>
      </c>
      <c r="J313" s="83">
        <f t="shared" si="210"/>
        <v>140.2332983333331</v>
      </c>
      <c r="K313" s="83">
        <f t="shared" si="210"/>
        <v>144.44029728333317</v>
      </c>
      <c r="L313" s="83">
        <f t="shared" si="210"/>
        <v>148.77350620183302</v>
      </c>
      <c r="M313" s="36">
        <f t="shared" si="210"/>
        <v>153.23671138788814</v>
      </c>
      <c r="N313" s="83">
        <f t="shared" si="210"/>
        <v>157.8338127295251</v>
      </c>
      <c r="O313" s="83">
        <f t="shared" si="210"/>
        <v>162.56882711141066</v>
      </c>
      <c r="P313" s="83">
        <f t="shared" si="210"/>
        <v>167.4458919247536</v>
      </c>
      <c r="Q313" s="83"/>
    </row>
    <row r="314" spans="1:17" ht="12.75" customHeight="1">
      <c r="A314" s="20"/>
      <c r="C314" s="26" t="s">
        <v>320</v>
      </c>
      <c r="D314" s="83">
        <f>D312-D313</f>
        <v>335.30420296894295</v>
      </c>
      <c r="E314" s="83">
        <f>E312-E313</f>
        <v>345.481581236148</v>
      </c>
      <c r="F314" s="83">
        <f>F312-F313</f>
        <v>356.5749235474015</v>
      </c>
      <c r="G314" s="83">
        <f>G312-G313</f>
        <v>366.6666666666676</v>
      </c>
      <c r="H314" s="83">
        <f>H312-H313</f>
        <v>377.66666666666725</v>
      </c>
      <c r="I314" s="83"/>
      <c r="J314" s="83"/>
      <c r="K314" s="83"/>
      <c r="L314" s="83"/>
      <c r="M314" s="36"/>
      <c r="N314" s="83"/>
      <c r="O314" s="83"/>
      <c r="P314" s="83"/>
      <c r="Q314" s="83"/>
    </row>
    <row r="315" spans="1:17" ht="12" customHeight="1">
      <c r="A315" s="20">
        <v>43</v>
      </c>
      <c r="C315" s="26" t="s">
        <v>178</v>
      </c>
      <c r="D315" s="1">
        <f>D312-D313+D137</f>
        <v>2226.2716540770434</v>
      </c>
      <c r="E315" s="1">
        <f aca="true" t="shared" si="211" ref="E315:P315">E312-E313+E137</f>
        <v>2296.636102943978</v>
      </c>
      <c r="F315" s="1">
        <f t="shared" si="211"/>
        <v>2643.333352208936</v>
      </c>
      <c r="G315" s="36">
        <f t="shared" si="211"/>
        <v>2717.033353907741</v>
      </c>
      <c r="H315" s="1">
        <f t="shared" si="211"/>
        <v>2798.336355759437</v>
      </c>
      <c r="I315" s="1">
        <f t="shared" si="211"/>
        <v>2882.052727777787</v>
      </c>
      <c r="J315" s="1">
        <f t="shared" si="211"/>
        <v>2968.5143096111215</v>
      </c>
      <c r="K315" s="1">
        <f t="shared" si="211"/>
        <v>3057.569738899456</v>
      </c>
      <c r="L315" s="1">
        <f t="shared" si="211"/>
        <v>3149.2968310664414</v>
      </c>
      <c r="M315" s="36">
        <f t="shared" si="211"/>
        <v>3243.7757359984357</v>
      </c>
      <c r="N315" s="1">
        <f t="shared" si="211"/>
        <v>3341.08900807839</v>
      </c>
      <c r="O315" s="1">
        <f t="shared" si="211"/>
        <v>3441.3216783207426</v>
      </c>
      <c r="P315" s="1">
        <f t="shared" si="211"/>
        <v>3544.5613286703647</v>
      </c>
      <c r="Q315" s="1"/>
    </row>
    <row r="316" spans="1:23" s="78" customFormat="1" ht="12" customHeight="1" thickBot="1">
      <c r="A316" s="77">
        <v>44</v>
      </c>
      <c r="B316" s="78" t="s">
        <v>138</v>
      </c>
      <c r="C316" s="91" t="s">
        <v>179</v>
      </c>
      <c r="D316" s="144">
        <f>D315-D144</f>
        <v>1226.2716540770427</v>
      </c>
      <c r="E316" s="144">
        <f aca="true" t="shared" si="212" ref="E316:P316">E315-E144</f>
        <v>1296.6361029439772</v>
      </c>
      <c r="F316" s="144">
        <f t="shared" si="212"/>
        <v>1543.3333522089351</v>
      </c>
      <c r="G316" s="145">
        <f t="shared" si="212"/>
        <v>1617.0333539077399</v>
      </c>
      <c r="H316" s="144">
        <f t="shared" si="212"/>
        <v>1665.336355759436</v>
      </c>
      <c r="I316" s="144">
        <f t="shared" si="212"/>
        <v>1715.0627277777855</v>
      </c>
      <c r="J316" s="144">
        <f t="shared" si="212"/>
        <v>1766.5146096111198</v>
      </c>
      <c r="K316" s="144">
        <f t="shared" si="212"/>
        <v>1819.510047899454</v>
      </c>
      <c r="L316" s="144">
        <f t="shared" si="212"/>
        <v>1874.0953493364395</v>
      </c>
      <c r="M316" s="145">
        <f t="shared" si="212"/>
        <v>1930.3182098165337</v>
      </c>
      <c r="N316" s="144">
        <f t="shared" si="212"/>
        <v>1988.2277561110307</v>
      </c>
      <c r="O316" s="144">
        <f t="shared" si="212"/>
        <v>2047.8745887943621</v>
      </c>
      <c r="P316" s="144">
        <f t="shared" si="212"/>
        <v>2109.3108264581924</v>
      </c>
      <c r="Q316" s="93"/>
      <c r="R316" s="82"/>
      <c r="S316" s="82"/>
      <c r="T316" s="82"/>
      <c r="U316" s="82"/>
      <c r="V316" s="82"/>
      <c r="W316" s="82"/>
    </row>
    <row r="317" spans="1:23" s="7" customFormat="1" ht="12" customHeight="1">
      <c r="A317" s="65"/>
      <c r="B317" s="66"/>
      <c r="C317" s="66"/>
      <c r="D317" s="113"/>
      <c r="E317" s="74"/>
      <c r="F317" s="74"/>
      <c r="G317" s="75"/>
      <c r="H317" s="74"/>
      <c r="I317" s="74"/>
      <c r="J317" s="74"/>
      <c r="K317" s="74"/>
      <c r="L317" s="74"/>
      <c r="M317" s="75"/>
      <c r="N317" s="74"/>
      <c r="O317" s="74"/>
      <c r="P317" s="74"/>
      <c r="Q317" s="74"/>
      <c r="R317" s="66"/>
      <c r="S317" s="66"/>
      <c r="T317" s="66"/>
      <c r="U317" s="66"/>
      <c r="V317" s="66"/>
      <c r="W317" s="66"/>
    </row>
    <row r="318" spans="1:17" ht="12" customHeight="1">
      <c r="A318" s="20">
        <v>47</v>
      </c>
      <c r="C318" s="7" t="s">
        <v>180</v>
      </c>
      <c r="D318" s="14">
        <f>D130*(D144*(1-$F$1)+D324)/D324</f>
        <v>1.570835995166876</v>
      </c>
      <c r="E318" s="14">
        <f aca="true" t="shared" si="213" ref="E318:P318">E130*(E144*(1-$F$1)+E324)/E324</f>
        <v>1.5398584833560234</v>
      </c>
      <c r="F318" s="14">
        <f t="shared" si="213"/>
        <v>1.4989200802910907</v>
      </c>
      <c r="G318" s="119">
        <f t="shared" si="213"/>
        <v>1.4761806539977733</v>
      </c>
      <c r="H318" s="14">
        <f t="shared" si="213"/>
        <v>1.476240128462413</v>
      </c>
      <c r="I318" s="14">
        <f t="shared" si="213"/>
        <v>1.4763050276641787</v>
      </c>
      <c r="J318" s="14">
        <f t="shared" si="213"/>
        <v>1.476305027664179</v>
      </c>
      <c r="K318" s="14">
        <f t="shared" si="213"/>
        <v>1.4763050276641785</v>
      </c>
      <c r="L318" s="14">
        <f t="shared" si="213"/>
        <v>1.4763050276641785</v>
      </c>
      <c r="M318" s="119">
        <f t="shared" si="213"/>
        <v>1.4763050276641783</v>
      </c>
      <c r="N318" s="14">
        <f t="shared" si="213"/>
        <v>1.4763050276641783</v>
      </c>
      <c r="O318" s="14">
        <f t="shared" si="213"/>
        <v>1.476305027664178</v>
      </c>
      <c r="P318" s="14">
        <f t="shared" si="213"/>
        <v>1.476305027664178</v>
      </c>
      <c r="Q318" s="14"/>
    </row>
    <row r="319" spans="1:23" s="7" customFormat="1" ht="12.75" customHeight="1">
      <c r="A319" s="20">
        <v>48</v>
      </c>
      <c r="C319" s="7" t="s">
        <v>181</v>
      </c>
      <c r="D319" s="60">
        <f aca="true" t="shared" si="214" ref="D319:P319">D131+D132*D318</f>
        <v>0.11283343980667504</v>
      </c>
      <c r="E319" s="60">
        <f t="shared" si="214"/>
        <v>0.11159433933424094</v>
      </c>
      <c r="F319" s="60">
        <f t="shared" si="214"/>
        <v>0.10995680321164364</v>
      </c>
      <c r="G319" s="59">
        <f t="shared" si="214"/>
        <v>0.10904722615991094</v>
      </c>
      <c r="H319" s="60">
        <f t="shared" si="214"/>
        <v>0.10904960513849651</v>
      </c>
      <c r="I319" s="60">
        <f t="shared" si="214"/>
        <v>0.10905220110656716</v>
      </c>
      <c r="J319" s="60">
        <f t="shared" si="214"/>
        <v>0.10905220110656716</v>
      </c>
      <c r="K319" s="60">
        <f t="shared" si="214"/>
        <v>0.10905220110656715</v>
      </c>
      <c r="L319" s="60">
        <f t="shared" si="214"/>
        <v>0.10905220110656715</v>
      </c>
      <c r="M319" s="59">
        <f t="shared" si="214"/>
        <v>0.10905220110656713</v>
      </c>
      <c r="N319" s="60">
        <f t="shared" si="214"/>
        <v>0.10905220110656713</v>
      </c>
      <c r="O319" s="60">
        <f t="shared" si="214"/>
        <v>0.10905220110656713</v>
      </c>
      <c r="P319" s="60">
        <f t="shared" si="214"/>
        <v>0.10905220110656713</v>
      </c>
      <c r="Q319" s="60">
        <f>P319</f>
        <v>0.10905220110656713</v>
      </c>
      <c r="R319" s="66"/>
      <c r="S319" s="66"/>
      <c r="T319" s="66"/>
      <c r="U319" s="66"/>
      <c r="V319" s="66"/>
      <c r="W319" s="66"/>
    </row>
    <row r="320" spans="1:17" ht="12.75" customHeight="1" hidden="1">
      <c r="A320" s="20"/>
      <c r="C320" s="26" t="s">
        <v>143</v>
      </c>
      <c r="D320" s="14">
        <v>1</v>
      </c>
      <c r="E320" s="14">
        <f>1/(1+D319)</f>
        <v>0.8986070729270349</v>
      </c>
      <c r="F320" s="55">
        <f aca="true" t="shared" si="215" ref="F320:Q320">E320/(1+E319)</f>
        <v>0.8083947903740056</v>
      </c>
      <c r="G320" s="117">
        <f t="shared" si="215"/>
        <v>0.728311937937519</v>
      </c>
      <c r="H320" s="55">
        <f t="shared" si="215"/>
        <v>0.6567005631124544</v>
      </c>
      <c r="I320" s="55">
        <f t="shared" si="215"/>
        <v>0.5921291167408572</v>
      </c>
      <c r="J320" s="55">
        <f t="shared" si="215"/>
        <v>0.533905542182825</v>
      </c>
      <c r="K320" s="55">
        <f t="shared" si="215"/>
        <v>0.4814070443664562</v>
      </c>
      <c r="L320" s="55">
        <f t="shared" si="215"/>
        <v>0.4340706811511017</v>
      </c>
      <c r="M320" s="117">
        <f t="shared" si="215"/>
        <v>0.39138886403904494</v>
      </c>
      <c r="N320" s="55">
        <f t="shared" si="215"/>
        <v>0.35290391529680304</v>
      </c>
      <c r="O320" s="55">
        <f t="shared" si="215"/>
        <v>0.3182031602702649</v>
      </c>
      <c r="P320" s="55">
        <f t="shared" si="215"/>
        <v>0.28691450226849086</v>
      </c>
      <c r="Q320" s="55">
        <f t="shared" si="215"/>
        <v>0.25870243256559</v>
      </c>
    </row>
    <row r="321" spans="1:17" ht="12.75" customHeight="1" hidden="1">
      <c r="A321" s="20"/>
      <c r="B321" s="51"/>
      <c r="C321" s="51" t="s">
        <v>81</v>
      </c>
      <c r="D321" s="51"/>
      <c r="E321" s="28">
        <f aca="true" t="shared" si="216" ref="E321:P321">E55</f>
        <v>68</v>
      </c>
      <c r="F321" s="28">
        <f t="shared" si="216"/>
        <v>-102</v>
      </c>
      <c r="G321" s="122">
        <f t="shared" si="216"/>
        <v>96</v>
      </c>
      <c r="H321" s="28">
        <f t="shared" si="216"/>
        <v>128.03000000000003</v>
      </c>
      <c r="I321" s="28">
        <f t="shared" si="216"/>
        <v>131.87789999999967</v>
      </c>
      <c r="J321" s="28">
        <f t="shared" si="216"/>
        <v>135.57948366666653</v>
      </c>
      <c r="K321" s="28">
        <f t="shared" si="216"/>
        <v>139.64686817666637</v>
      </c>
      <c r="L321" s="28">
        <f t="shared" si="216"/>
        <v>143.83627422196707</v>
      </c>
      <c r="M321" s="122">
        <f t="shared" si="216"/>
        <v>148.15136244862515</v>
      </c>
      <c r="N321" s="28">
        <f t="shared" si="216"/>
        <v>152.59590332208427</v>
      </c>
      <c r="O321" s="28">
        <f t="shared" si="216"/>
        <v>157.17378042174698</v>
      </c>
      <c r="P321" s="28">
        <f t="shared" si="216"/>
        <v>161.88899383440037</v>
      </c>
      <c r="Q321" s="1">
        <f>P321*(1+O$8)+P321*(1+O$8)*(1+O$8)/(P319-O$8)</f>
        <v>2339.335814901371</v>
      </c>
    </row>
    <row r="322" spans="1:17" ht="12.75" customHeight="1" hidden="1">
      <c r="A322" s="20"/>
      <c r="C322" s="26" t="s">
        <v>144</v>
      </c>
      <c r="D322" s="1"/>
      <c r="E322" s="1">
        <f aca="true" t="shared" si="217" ref="E322:Q322">E321*E320</f>
        <v>61.105280959038375</v>
      </c>
      <c r="F322" s="1">
        <f t="shared" si="217"/>
        <v>-82.45626861814857</v>
      </c>
      <c r="G322" s="36">
        <f t="shared" si="217"/>
        <v>69.91794604200183</v>
      </c>
      <c r="H322" s="1">
        <f t="shared" si="217"/>
        <v>84.07737309528756</v>
      </c>
      <c r="I322" s="1">
        <f t="shared" si="217"/>
        <v>78.0887444446389</v>
      </c>
      <c r="J322" s="1">
        <f t="shared" si="217"/>
        <v>72.38663773591907</v>
      </c>
      <c r="K322" s="1">
        <f t="shared" si="217"/>
        <v>67.22698606396109</v>
      </c>
      <c r="L322" s="1">
        <f t="shared" si="217"/>
        <v>62.435109525765895</v>
      </c>
      <c r="M322" s="36">
        <f t="shared" si="217"/>
        <v>57.984793454604215</v>
      </c>
      <c r="N322" s="1">
        <f t="shared" si="217"/>
        <v>53.85169174061597</v>
      </c>
      <c r="O322" s="1">
        <f t="shared" si="217"/>
        <v>50.01319364182458</v>
      </c>
      <c r="P322" s="1">
        <f t="shared" si="217"/>
        <v>46.448300088743764</v>
      </c>
      <c r="Q322" s="1">
        <f t="shared" si="217"/>
        <v>605.1918659027915</v>
      </c>
    </row>
    <row r="323" spans="1:17" ht="12.75" customHeight="1">
      <c r="A323" s="20">
        <v>49</v>
      </c>
      <c r="C323" s="56" t="s">
        <v>182</v>
      </c>
      <c r="D323" s="46">
        <f>SUM(E322:$Q322)/D320</f>
        <v>1226.271654077044</v>
      </c>
      <c r="E323" s="46">
        <f>SUM(F322:$Q322)/E320</f>
        <v>1296.6361029439781</v>
      </c>
      <c r="F323" s="46">
        <f>SUM(G322:$Q322)/F320</f>
        <v>1543.333352208936</v>
      </c>
      <c r="G323" s="33">
        <f>SUM(H322:$Q322)/G320</f>
        <v>1617.0333539077405</v>
      </c>
      <c r="H323" s="46">
        <f>SUM(I322:$Q322)/H320</f>
        <v>1665.3363557594369</v>
      </c>
      <c r="I323" s="46">
        <f>SUM(J322:$Q322)/I320</f>
        <v>1715.0627277777864</v>
      </c>
      <c r="J323" s="46">
        <f>SUM(K322:$Q322)/J320</f>
        <v>1766.514609611121</v>
      </c>
      <c r="K323" s="46">
        <f>SUM(L322:$Q322)/K320</f>
        <v>1819.5100478994552</v>
      </c>
      <c r="L323" s="46">
        <f>SUM(M322:$Q322)/L320</f>
        <v>1874.0953493364393</v>
      </c>
      <c r="M323" s="33">
        <f>SUM(N322:$Q322)/M320</f>
        <v>1930.3182098165335</v>
      </c>
      <c r="N323" s="46">
        <f>SUM(O322:$Q322)/N320</f>
        <v>1988.2277561110304</v>
      </c>
      <c r="O323" s="46">
        <f>SUM(P322:$Q322)/O320</f>
        <v>2047.8745887943621</v>
      </c>
      <c r="P323" s="46">
        <f>SUM(Q322:$Q322)/P320</f>
        <v>2109.310826458193</v>
      </c>
      <c r="Q323" s="46"/>
    </row>
    <row r="324" spans="1:17" ht="12.75" customHeight="1">
      <c r="A324" s="20">
        <v>50</v>
      </c>
      <c r="C324" s="106" t="s">
        <v>183</v>
      </c>
      <c r="D324" s="81">
        <f>D323</f>
        <v>1226.271654077044</v>
      </c>
      <c r="E324" s="81">
        <f aca="true" t="shared" si="218" ref="E324:P324">D324*(1+D319)-E159</f>
        <v>1296.6361029439781</v>
      </c>
      <c r="F324" s="81">
        <f t="shared" si="218"/>
        <v>1543.333352208936</v>
      </c>
      <c r="G324" s="121">
        <f t="shared" si="218"/>
        <v>1617.0333539077403</v>
      </c>
      <c r="H324" s="81">
        <f t="shared" si="218"/>
        <v>1665.336355759437</v>
      </c>
      <c r="I324" s="81">
        <f t="shared" si="218"/>
        <v>1715.062727777787</v>
      </c>
      <c r="J324" s="81">
        <f t="shared" si="218"/>
        <v>1766.5146096111212</v>
      </c>
      <c r="K324" s="81">
        <f t="shared" si="218"/>
        <v>1819.5100478994557</v>
      </c>
      <c r="L324" s="81">
        <f t="shared" si="218"/>
        <v>1874.0953493364395</v>
      </c>
      <c r="M324" s="121">
        <f t="shared" si="218"/>
        <v>1930.318209816534</v>
      </c>
      <c r="N324" s="81">
        <f t="shared" si="218"/>
        <v>1988.2277561110309</v>
      </c>
      <c r="O324" s="81">
        <f t="shared" si="218"/>
        <v>2047.8745887943628</v>
      </c>
      <c r="P324" s="81">
        <f t="shared" si="218"/>
        <v>2109.310826458194</v>
      </c>
      <c r="Q324" s="81"/>
    </row>
    <row r="325" spans="1:16" ht="12.75" customHeight="1">
      <c r="A325" s="20"/>
      <c r="D325" s="50"/>
      <c r="E325" s="50"/>
      <c r="F325" s="50"/>
      <c r="G325" s="199"/>
      <c r="H325" s="50"/>
      <c r="I325" s="50"/>
      <c r="J325" s="50"/>
      <c r="K325" s="50"/>
      <c r="L325" s="50"/>
      <c r="M325" s="38"/>
      <c r="N325" s="50"/>
      <c r="O325" s="50"/>
      <c r="P325" s="50"/>
    </row>
    <row r="326" spans="1:23" s="7" customFormat="1" ht="12" customHeight="1">
      <c r="A326" s="20">
        <v>51</v>
      </c>
      <c r="C326" s="7" t="s">
        <v>184</v>
      </c>
      <c r="D326" s="58">
        <f>(D324*D319+D144*D146-D145*D140*$F1)/(D324+D144)</f>
        <v>0.08101637036820132</v>
      </c>
      <c r="E326" s="58">
        <f aca="true" t="shared" si="219" ref="E326:P326">(E324*E319+E144*E146-E145*E140*$F1)/(E324+E144)</f>
        <v>0.08129161125074943</v>
      </c>
      <c r="F326" s="58">
        <f t="shared" si="219"/>
        <v>0.08167717534316456</v>
      </c>
      <c r="G326" s="170">
        <f t="shared" si="219"/>
        <v>0.08190293340773357</v>
      </c>
      <c r="H326" s="58">
        <f t="shared" si="219"/>
        <v>0.08190233155733334</v>
      </c>
      <c r="I326" s="58">
        <f t="shared" si="219"/>
        <v>0.08190167488087693</v>
      </c>
      <c r="J326" s="58">
        <f t="shared" si="219"/>
        <v>0.08190167488087695</v>
      </c>
      <c r="K326" s="58">
        <f t="shared" si="219"/>
        <v>0.08190167488087695</v>
      </c>
      <c r="L326" s="58">
        <f t="shared" si="219"/>
        <v>0.08190167488087693</v>
      </c>
      <c r="M326" s="170">
        <f t="shared" si="219"/>
        <v>0.08190167488087693</v>
      </c>
      <c r="N326" s="58">
        <f t="shared" si="219"/>
        <v>0.08190167488087695</v>
      </c>
      <c r="O326" s="58">
        <f t="shared" si="219"/>
        <v>0.08190167488087693</v>
      </c>
      <c r="P326" s="58">
        <f t="shared" si="219"/>
        <v>0.08190167488087695</v>
      </c>
      <c r="Q326" s="58">
        <f>P326</f>
        <v>0.08190167488087695</v>
      </c>
      <c r="R326" s="66"/>
      <c r="S326" s="66"/>
      <c r="T326" s="66"/>
      <c r="U326" s="66"/>
      <c r="V326" s="66"/>
      <c r="W326" s="66"/>
    </row>
    <row r="327" spans="1:17" ht="12" customHeight="1" hidden="1">
      <c r="A327" s="20"/>
      <c r="C327" s="26" t="s">
        <v>147</v>
      </c>
      <c r="D327" s="14">
        <v>1</v>
      </c>
      <c r="E327" s="14">
        <f>1/(1+D326)</f>
        <v>0.9250553714180973</v>
      </c>
      <c r="F327" s="14">
        <f aca="true" t="shared" si="220" ref="F327:Q327">E327/(1+E326)</f>
        <v>0.8555096162709237</v>
      </c>
      <c r="G327" s="119">
        <f t="shared" si="220"/>
        <v>0.7909102972423461</v>
      </c>
      <c r="H327" s="14">
        <f t="shared" si="220"/>
        <v>0.7310362813706117</v>
      </c>
      <c r="I327" s="14">
        <f t="shared" si="220"/>
        <v>0.6756952638398782</v>
      </c>
      <c r="J327" s="14">
        <f t="shared" si="220"/>
        <v>0.624544059342801</v>
      </c>
      <c r="K327" s="14">
        <f t="shared" si="220"/>
        <v>0.5772650822558035</v>
      </c>
      <c r="L327" s="14">
        <f t="shared" si="220"/>
        <v>0.5335651988147291</v>
      </c>
      <c r="M327" s="119">
        <f t="shared" si="220"/>
        <v>0.49317346594687306</v>
      </c>
      <c r="N327" s="14">
        <f t="shared" si="220"/>
        <v>0.45583945140040016</v>
      </c>
      <c r="O327" s="14">
        <f t="shared" si="220"/>
        <v>0.4213316810426331</v>
      </c>
      <c r="P327" s="14">
        <f t="shared" si="220"/>
        <v>0.389436203700326</v>
      </c>
      <c r="Q327" s="14">
        <f t="shared" si="220"/>
        <v>0.3599552646438087</v>
      </c>
    </row>
    <row r="328" spans="1:17" ht="12" customHeight="1" hidden="1">
      <c r="A328" s="54"/>
      <c r="B328" s="51"/>
      <c r="C328" s="51" t="s">
        <v>82</v>
      </c>
      <c r="D328" s="51"/>
      <c r="E328" s="51">
        <f aca="true" t="shared" si="221" ref="E328:P328">E308</f>
        <v>110</v>
      </c>
      <c r="F328" s="51">
        <f t="shared" si="221"/>
        <v>-160</v>
      </c>
      <c r="G328" s="120">
        <f t="shared" si="221"/>
        <v>142.2</v>
      </c>
      <c r="H328" s="51">
        <f t="shared" si="221"/>
        <v>141.23000000000002</v>
      </c>
      <c r="I328" s="51">
        <f t="shared" si="221"/>
        <v>145.47389999999967</v>
      </c>
      <c r="J328" s="51">
        <f t="shared" si="221"/>
        <v>149.58336366666646</v>
      </c>
      <c r="K328" s="51">
        <f t="shared" si="221"/>
        <v>154.07086457666628</v>
      </c>
      <c r="L328" s="51">
        <f t="shared" si="221"/>
        <v>158.69299051396695</v>
      </c>
      <c r="M328" s="120">
        <f t="shared" si="221"/>
        <v>163.45378022938502</v>
      </c>
      <c r="N328" s="51">
        <f t="shared" si="221"/>
        <v>168.35739363626706</v>
      </c>
      <c r="O328" s="51">
        <f t="shared" si="221"/>
        <v>173.40811544535524</v>
      </c>
      <c r="P328" s="51">
        <f t="shared" si="221"/>
        <v>178.61035890871696</v>
      </c>
      <c r="Q328" s="1">
        <f>P328*(1+O$8)+P328*(1+O$8)*(1+O$8)/(P326-O$8)</f>
        <v>3834.8668382064543</v>
      </c>
    </row>
    <row r="329" spans="1:17" ht="12" customHeight="1" hidden="1">
      <c r="A329" s="20"/>
      <c r="C329" s="26" t="s">
        <v>127</v>
      </c>
      <c r="D329" s="1"/>
      <c r="E329" s="1">
        <f aca="true" t="shared" si="222" ref="E329:Q329">E328*E327</f>
        <v>101.7560908559907</v>
      </c>
      <c r="F329" s="1">
        <f t="shared" si="222"/>
        <v>-136.8815386033478</v>
      </c>
      <c r="G329" s="36">
        <f t="shared" si="222"/>
        <v>112.46744426786161</v>
      </c>
      <c r="H329" s="1">
        <f t="shared" si="222"/>
        <v>103.2442540179715</v>
      </c>
      <c r="I329" s="1">
        <f t="shared" si="222"/>
        <v>98.29602524231584</v>
      </c>
      <c r="J329" s="1">
        <f t="shared" si="222"/>
        <v>93.42140115453032</v>
      </c>
      <c r="K329" s="1">
        <f t="shared" si="222"/>
        <v>88.93973031307203</v>
      </c>
      <c r="L329" s="1">
        <f t="shared" si="222"/>
        <v>84.67305703408869</v>
      </c>
      <c r="M329" s="36">
        <f t="shared" si="222"/>
        <v>80.61106731784429</v>
      </c>
      <c r="N329" s="1">
        <f t="shared" si="222"/>
        <v>76.7439419543572</v>
      </c>
      <c r="O329" s="1">
        <f t="shared" si="222"/>
        <v>73.0623327870265</v>
      </c>
      <c r="P329" s="1">
        <f t="shared" si="222"/>
        <v>69.55734011496344</v>
      </c>
      <c r="Q329" s="1">
        <f t="shared" si="222"/>
        <v>1380.3805076203703</v>
      </c>
    </row>
    <row r="330" spans="1:17" ht="12" customHeight="1">
      <c r="A330" s="20">
        <v>52</v>
      </c>
      <c r="B330" s="4" t="s">
        <v>185</v>
      </c>
      <c r="C330" s="51" t="s">
        <v>186</v>
      </c>
      <c r="D330" s="22">
        <f>SUM(E329:$Q329)/D327</f>
        <v>2226.2716540770443</v>
      </c>
      <c r="E330" s="22">
        <f>SUM(F329:$Q329)/E327</f>
        <v>2296.636102943979</v>
      </c>
      <c r="F330" s="22">
        <f>SUM(G329:$Q329)/F327</f>
        <v>2643.333352208937</v>
      </c>
      <c r="G330" s="111">
        <f>SUM(H329:$Q329)/G327</f>
        <v>2717.0333539077415</v>
      </c>
      <c r="H330" s="22">
        <f>SUM(I329:$Q329)/H327</f>
        <v>2798.336355759438</v>
      </c>
      <c r="I330" s="22">
        <f>SUM(J329:$Q329)/I327</f>
        <v>2882.0527277777874</v>
      </c>
      <c r="J330" s="22">
        <f>SUM(K329:$Q329)/J327</f>
        <v>2968.514309611122</v>
      </c>
      <c r="K330" s="22">
        <f>SUM(L329:$Q329)/K327</f>
        <v>3057.5697388994563</v>
      </c>
      <c r="L330" s="22">
        <f>SUM(M329:$Q329)/L327</f>
        <v>3149.296831066441</v>
      </c>
      <c r="M330" s="111">
        <f>SUM(N329:$Q329)/M327</f>
        <v>3243.7757359984353</v>
      </c>
      <c r="N330" s="22">
        <f>SUM(O329:$Q329)/N327</f>
        <v>3341.0890080783893</v>
      </c>
      <c r="O330" s="22">
        <f>SUM(P329:$Q329)/O327</f>
        <v>3441.321678320742</v>
      </c>
      <c r="P330" s="22">
        <f>SUM(Q329:$Q329)/P327</f>
        <v>3544.5613286703647</v>
      </c>
      <c r="Q330" s="22"/>
    </row>
    <row r="331" spans="1:17" ht="12.75" customHeight="1">
      <c r="A331" s="20">
        <v>53</v>
      </c>
      <c r="B331" s="4" t="s">
        <v>138</v>
      </c>
      <c r="C331" s="47" t="s">
        <v>187</v>
      </c>
      <c r="D331" s="46">
        <f>D330-D144</f>
        <v>1226.2716540770436</v>
      </c>
      <c r="E331" s="46">
        <f aca="true" t="shared" si="223" ref="E331:P331">E330-E144</f>
        <v>1296.6361029439781</v>
      </c>
      <c r="F331" s="46">
        <f t="shared" si="223"/>
        <v>1543.333352208936</v>
      </c>
      <c r="G331" s="33">
        <f t="shared" si="223"/>
        <v>1617.0333539077403</v>
      </c>
      <c r="H331" s="46">
        <f t="shared" si="223"/>
        <v>1665.3363557594369</v>
      </c>
      <c r="I331" s="46">
        <f t="shared" si="223"/>
        <v>1715.062727777786</v>
      </c>
      <c r="J331" s="46">
        <f t="shared" si="223"/>
        <v>1766.5146096111202</v>
      </c>
      <c r="K331" s="46">
        <f t="shared" si="223"/>
        <v>1819.5100478994545</v>
      </c>
      <c r="L331" s="46">
        <f t="shared" si="223"/>
        <v>1874.095349336439</v>
      </c>
      <c r="M331" s="33">
        <f t="shared" si="223"/>
        <v>1930.3182098165332</v>
      </c>
      <c r="N331" s="46">
        <f t="shared" si="223"/>
        <v>1988.2277561110297</v>
      </c>
      <c r="O331" s="46">
        <f t="shared" si="223"/>
        <v>2047.8745887943617</v>
      </c>
      <c r="P331" s="46">
        <f t="shared" si="223"/>
        <v>2109.3108264581924</v>
      </c>
      <c r="Q331" s="24"/>
    </row>
    <row r="332" spans="1:17" ht="12.75" customHeight="1">
      <c r="A332" s="20">
        <v>54</v>
      </c>
      <c r="C332" s="85" t="s">
        <v>151</v>
      </c>
      <c r="D332" s="83">
        <f>D330</f>
        <v>2226.2716540770443</v>
      </c>
      <c r="E332" s="83">
        <f aca="true" t="shared" si="224" ref="E332:P332">D332*(1+D326)-E308</f>
        <v>2296.6361029439786</v>
      </c>
      <c r="F332" s="83">
        <f t="shared" si="224"/>
        <v>2643.3333522089365</v>
      </c>
      <c r="G332" s="36">
        <f t="shared" si="224"/>
        <v>2717.033353907741</v>
      </c>
      <c r="H332" s="83">
        <f t="shared" si="224"/>
        <v>2798.3363557594375</v>
      </c>
      <c r="I332" s="83">
        <f t="shared" si="224"/>
        <v>2882.0527277777874</v>
      </c>
      <c r="J332" s="83">
        <f t="shared" si="224"/>
        <v>2968.5143096111215</v>
      </c>
      <c r="K332" s="83">
        <f t="shared" si="224"/>
        <v>3057.5697388994563</v>
      </c>
      <c r="L332" s="83">
        <f t="shared" si="224"/>
        <v>3149.2968310664405</v>
      </c>
      <c r="M332" s="36">
        <f t="shared" si="224"/>
        <v>3243.7757359984353</v>
      </c>
      <c r="N332" s="83">
        <f t="shared" si="224"/>
        <v>3341.0890080783893</v>
      </c>
      <c r="O332" s="83">
        <f t="shared" si="224"/>
        <v>3441.321678320742</v>
      </c>
      <c r="P332" s="83">
        <f t="shared" si="224"/>
        <v>3544.5613286703647</v>
      </c>
      <c r="Q332" s="105"/>
    </row>
    <row r="333" spans="1:17" ht="12.75" customHeight="1">
      <c r="A333" s="20"/>
      <c r="C333" s="6"/>
      <c r="D333" s="6"/>
      <c r="E333" s="53"/>
      <c r="F333" s="53"/>
      <c r="G333" s="37"/>
      <c r="H333" s="53"/>
      <c r="I333" s="53"/>
      <c r="J333" s="53"/>
      <c r="K333" s="53"/>
      <c r="L333" s="53"/>
      <c r="M333" s="37"/>
      <c r="N333" s="53"/>
      <c r="O333" s="53"/>
      <c r="P333" s="53"/>
      <c r="Q333" s="53"/>
    </row>
    <row r="334" spans="1:23" s="7" customFormat="1" ht="12.75" customHeight="1">
      <c r="A334" s="20">
        <v>55</v>
      </c>
      <c r="C334" s="7" t="s">
        <v>188</v>
      </c>
      <c r="D334" s="58">
        <f>(D144*D146+D331*D319)/(D144+D331)</f>
        <v>0.08910163703682013</v>
      </c>
      <c r="E334" s="58">
        <f aca="true" t="shared" si="225" ref="E334:P334">(E144*E146+E331*E319)/(E144+E331)</f>
        <v>0.08912916112507495</v>
      </c>
      <c r="F334" s="58">
        <f t="shared" si="225"/>
        <v>0.08916771753431646</v>
      </c>
      <c r="G334" s="170">
        <f t="shared" si="225"/>
        <v>0.08919029334077336</v>
      </c>
      <c r="H334" s="58">
        <f t="shared" si="225"/>
        <v>0.08919023315573332</v>
      </c>
      <c r="I334" s="58">
        <f t="shared" si="225"/>
        <v>0.08919016748808767</v>
      </c>
      <c r="J334" s="58">
        <f t="shared" si="225"/>
        <v>0.08919016748808768</v>
      </c>
      <c r="K334" s="58">
        <f t="shared" si="225"/>
        <v>0.08919016748808768</v>
      </c>
      <c r="L334" s="58">
        <f t="shared" si="225"/>
        <v>0.0891901674880877</v>
      </c>
      <c r="M334" s="170">
        <f t="shared" si="225"/>
        <v>0.0891901674880877</v>
      </c>
      <c r="N334" s="58">
        <f t="shared" si="225"/>
        <v>0.08919016748808768</v>
      </c>
      <c r="O334" s="58">
        <f t="shared" si="225"/>
        <v>0.08919016748808768</v>
      </c>
      <c r="P334" s="58">
        <f t="shared" si="225"/>
        <v>0.0891901674880877</v>
      </c>
      <c r="Q334" s="58">
        <f>P334</f>
        <v>0.0891901674880877</v>
      </c>
      <c r="R334" s="66"/>
      <c r="S334" s="66"/>
      <c r="T334" s="66"/>
      <c r="U334" s="66"/>
      <c r="V334" s="66"/>
      <c r="W334" s="66"/>
    </row>
    <row r="335" spans="1:17" ht="12.75" customHeight="1" hidden="1">
      <c r="A335" s="20"/>
      <c r="C335" s="26" t="s">
        <v>153</v>
      </c>
      <c r="D335" s="14">
        <v>1</v>
      </c>
      <c r="E335" s="14">
        <f>1/(1+D334)</f>
        <v>0.9181879505027245</v>
      </c>
      <c r="F335" s="14">
        <f aca="true" t="shared" si="226" ref="F335:Q335">E335/(1+E334)</f>
        <v>0.8430478067029558</v>
      </c>
      <c r="G335" s="119">
        <f t="shared" si="226"/>
        <v>0.7740293741091292</v>
      </c>
      <c r="H335" s="14">
        <f t="shared" si="226"/>
        <v>0.710646595770717</v>
      </c>
      <c r="I335" s="14">
        <f t="shared" si="226"/>
        <v>0.6524540655416511</v>
      </c>
      <c r="J335" s="14">
        <f t="shared" si="226"/>
        <v>0.5990267677923992</v>
      </c>
      <c r="K335" s="14">
        <f t="shared" si="226"/>
        <v>0.5499744541156544</v>
      </c>
      <c r="L335" s="14">
        <f t="shared" si="226"/>
        <v>0.5049388715875177</v>
      </c>
      <c r="M335" s="119">
        <f t="shared" si="226"/>
        <v>0.4635911034268863</v>
      </c>
      <c r="N335" s="14">
        <f t="shared" si="226"/>
        <v>0.42562916675609497</v>
      </c>
      <c r="O335" s="14">
        <f t="shared" si="226"/>
        <v>0.3907758070729646</v>
      </c>
      <c r="P335" s="14">
        <f t="shared" si="226"/>
        <v>0.35877647332621415</v>
      </c>
      <c r="Q335" s="14">
        <f t="shared" si="226"/>
        <v>0.3293974588052256</v>
      </c>
    </row>
    <row r="336" spans="1:17" ht="12.75" customHeight="1" hidden="1">
      <c r="A336" s="54">
        <v>28</v>
      </c>
      <c r="B336" s="51"/>
      <c r="C336" s="51" t="s">
        <v>84</v>
      </c>
      <c r="D336" s="51"/>
      <c r="E336" s="28">
        <f aca="true" t="shared" si="227" ref="E336:P336">E310</f>
        <v>128</v>
      </c>
      <c r="F336" s="28">
        <f t="shared" si="227"/>
        <v>-142</v>
      </c>
      <c r="G336" s="122">
        <f t="shared" si="227"/>
        <v>162</v>
      </c>
      <c r="H336" s="28">
        <f t="shared" si="227"/>
        <v>161.03000000000003</v>
      </c>
      <c r="I336" s="28">
        <f t="shared" si="227"/>
        <v>165.86789999999968</v>
      </c>
      <c r="J336" s="28">
        <f t="shared" si="227"/>
        <v>170.5891836666665</v>
      </c>
      <c r="K336" s="28">
        <f t="shared" si="227"/>
        <v>175.70685917666628</v>
      </c>
      <c r="L336" s="28">
        <f t="shared" si="227"/>
        <v>180.97806495196693</v>
      </c>
      <c r="M336" s="122">
        <f t="shared" si="227"/>
        <v>186.40740690052502</v>
      </c>
      <c r="N336" s="28">
        <f t="shared" si="227"/>
        <v>191.99962910754127</v>
      </c>
      <c r="O336" s="28">
        <f t="shared" si="227"/>
        <v>197.75961798076764</v>
      </c>
      <c r="P336" s="28">
        <f t="shared" si="227"/>
        <v>203.69240652019178</v>
      </c>
      <c r="Q336" s="1">
        <f>P336*(1+O$8)+P336*(1+O$8)*(1+O$8)/(P334-O$8)</f>
        <v>3860.7013472462727</v>
      </c>
    </row>
    <row r="337" spans="1:17" ht="12.75" customHeight="1" hidden="1">
      <c r="A337" s="20"/>
      <c r="C337" s="26" t="s">
        <v>154</v>
      </c>
      <c r="D337" s="1"/>
      <c r="E337" s="1">
        <f aca="true" t="shared" si="228" ref="E337:Q337">E336*E335</f>
        <v>117.52805766434874</v>
      </c>
      <c r="F337" s="1">
        <f t="shared" si="228"/>
        <v>-119.71278855181971</v>
      </c>
      <c r="G337" s="36">
        <f t="shared" si="228"/>
        <v>125.39275860567894</v>
      </c>
      <c r="H337" s="1">
        <f t="shared" si="228"/>
        <v>114.43542131695858</v>
      </c>
      <c r="I337" s="1">
        <f t="shared" si="228"/>
        <v>108.22118569785582</v>
      </c>
      <c r="J337" s="1">
        <f t="shared" si="228"/>
        <v>102.18748731218716</v>
      </c>
      <c r="K337" s="1">
        <f t="shared" si="228"/>
        <v>96.6342839600632</v>
      </c>
      <c r="L337" s="1">
        <f t="shared" si="228"/>
        <v>91.38285989893866</v>
      </c>
      <c r="M337" s="36">
        <f t="shared" si="228"/>
        <v>86.41681545195897</v>
      </c>
      <c r="N337" s="1">
        <f t="shared" si="228"/>
        <v>81.72064215452207</v>
      </c>
      <c r="O337" s="1">
        <f t="shared" si="228"/>
        <v>77.27967432287564</v>
      </c>
      <c r="P337" s="1">
        <f t="shared" si="228"/>
        <v>73.08004325464395</v>
      </c>
      <c r="Q337" s="1">
        <f t="shared" si="228"/>
        <v>1271.705212988833</v>
      </c>
    </row>
    <row r="338" spans="1:17" ht="12.75" customHeight="1">
      <c r="A338" s="20">
        <v>56</v>
      </c>
      <c r="B338" s="4" t="s">
        <v>185</v>
      </c>
      <c r="C338" s="51" t="s">
        <v>189</v>
      </c>
      <c r="D338" s="22">
        <f>SUM(E337:$Q337)/D335</f>
        <v>2226.2716540770452</v>
      </c>
      <c r="E338" s="22">
        <f>SUM(F337:$Q337)/E335</f>
        <v>2296.636102943979</v>
      </c>
      <c r="F338" s="22">
        <f>SUM(G337:$Q337)/F335</f>
        <v>2643.333352208937</v>
      </c>
      <c r="G338" s="111">
        <f>SUM(H337:$Q337)/G335</f>
        <v>2717.0333539077415</v>
      </c>
      <c r="H338" s="22">
        <f>SUM(I337:$Q337)/H335</f>
        <v>2798.3363557594375</v>
      </c>
      <c r="I338" s="22">
        <f>SUM(J337:$Q337)/I335</f>
        <v>2882.0527277777874</v>
      </c>
      <c r="J338" s="22">
        <f>SUM(K337:$Q337)/J335</f>
        <v>2968.514309611122</v>
      </c>
      <c r="K338" s="22">
        <f>SUM(L337:$Q337)/K335</f>
        <v>3057.569738899456</v>
      </c>
      <c r="L338" s="22">
        <f>SUM(M337:$Q337)/L335</f>
        <v>3149.29683106644</v>
      </c>
      <c r="M338" s="111">
        <f>SUM(N337:$Q337)/M335</f>
        <v>3243.775735998435</v>
      </c>
      <c r="N338" s="22">
        <f>SUM(O337:$Q337)/N335</f>
        <v>3341.0890080783893</v>
      </c>
      <c r="O338" s="22">
        <f>SUM(P337:$Q337)/O335</f>
        <v>3441.3216783207413</v>
      </c>
      <c r="P338" s="22">
        <f>SUM(Q337:$Q337)/P335</f>
        <v>3544.5613286703638</v>
      </c>
      <c r="Q338" s="22"/>
    </row>
    <row r="339" spans="1:23" s="78" customFormat="1" ht="12.75" customHeight="1" thickBot="1">
      <c r="A339" s="77">
        <v>57</v>
      </c>
      <c r="B339" s="78" t="s">
        <v>138</v>
      </c>
      <c r="C339" s="91" t="s">
        <v>190</v>
      </c>
      <c r="D339" s="93">
        <f>D338-D144</f>
        <v>1226.2716540770446</v>
      </c>
      <c r="E339" s="93">
        <f aca="true" t="shared" si="229" ref="E339:P339">E338-E144</f>
        <v>1296.6361029439781</v>
      </c>
      <c r="F339" s="93">
        <f t="shared" si="229"/>
        <v>1543.333352208936</v>
      </c>
      <c r="G339" s="116">
        <f t="shared" si="229"/>
        <v>1617.0333539077403</v>
      </c>
      <c r="H339" s="93">
        <f t="shared" si="229"/>
        <v>1665.3363557594364</v>
      </c>
      <c r="I339" s="93">
        <f t="shared" si="229"/>
        <v>1715.062727777786</v>
      </c>
      <c r="J339" s="93">
        <f t="shared" si="229"/>
        <v>1766.5146096111202</v>
      </c>
      <c r="K339" s="93">
        <f t="shared" si="229"/>
        <v>1819.510047899454</v>
      </c>
      <c r="L339" s="93">
        <f t="shared" si="229"/>
        <v>1874.0953493364382</v>
      </c>
      <c r="M339" s="116">
        <f t="shared" si="229"/>
        <v>1930.3182098165328</v>
      </c>
      <c r="N339" s="93">
        <f t="shared" si="229"/>
        <v>1988.2277561110297</v>
      </c>
      <c r="O339" s="93">
        <f t="shared" si="229"/>
        <v>2047.8745887943608</v>
      </c>
      <c r="P339" s="93">
        <f t="shared" si="229"/>
        <v>2109.3108264581915</v>
      </c>
      <c r="Q339" s="133"/>
      <c r="R339" s="82"/>
      <c r="S339" s="82"/>
      <c r="T339" s="82"/>
      <c r="U339" s="82"/>
      <c r="V339" s="82"/>
      <c r="W339" s="82"/>
    </row>
    <row r="340" spans="1:17" ht="12" customHeight="1">
      <c r="A340" s="20"/>
      <c r="D340" s="49"/>
      <c r="E340" s="49"/>
      <c r="F340" s="49"/>
      <c r="G340" s="40"/>
      <c r="H340" s="49"/>
      <c r="I340" s="49"/>
      <c r="J340" s="27"/>
      <c r="K340" s="27"/>
      <c r="L340" s="27"/>
      <c r="M340" s="32"/>
      <c r="N340" s="27"/>
      <c r="O340" s="27"/>
      <c r="P340" s="27"/>
      <c r="Q340" s="27"/>
    </row>
    <row r="341" spans="1:23" s="78" customFormat="1" ht="12.75" customHeight="1" thickBot="1">
      <c r="A341" s="77">
        <v>58</v>
      </c>
      <c r="C341" s="91" t="s">
        <v>191</v>
      </c>
      <c r="D341" s="107">
        <f aca="true" t="shared" si="230" ref="D341:P341">(D23*D319+D140*D146*(1-$F1))/(D23+D140)</f>
        <v>0.07741671990333752</v>
      </c>
      <c r="E341" s="107">
        <f t="shared" si="230"/>
        <v>0.07731141355382669</v>
      </c>
      <c r="F341" s="107">
        <f t="shared" si="230"/>
        <v>0.07834898776436752</v>
      </c>
      <c r="G341" s="123">
        <f t="shared" si="230"/>
        <v>0.07869662995583603</v>
      </c>
      <c r="H341" s="107">
        <f t="shared" si="230"/>
        <v>0.07869793203053511</v>
      </c>
      <c r="I341" s="107">
        <f t="shared" si="230"/>
        <v>0.07869935286902648</v>
      </c>
      <c r="J341" s="107">
        <f t="shared" si="230"/>
        <v>0.07869935286902648</v>
      </c>
      <c r="K341" s="107">
        <f t="shared" si="230"/>
        <v>0.07869935286902646</v>
      </c>
      <c r="L341" s="107">
        <f t="shared" si="230"/>
        <v>0.07869935286902645</v>
      </c>
      <c r="M341" s="123">
        <f t="shared" si="230"/>
        <v>0.07869935286902646</v>
      </c>
      <c r="N341" s="107">
        <f t="shared" si="230"/>
        <v>0.07869935286902645</v>
      </c>
      <c r="O341" s="107">
        <f t="shared" si="230"/>
        <v>0.07869935286902643</v>
      </c>
      <c r="P341" s="107">
        <f t="shared" si="230"/>
        <v>0.07869935286902643</v>
      </c>
      <c r="Q341" s="108"/>
      <c r="R341" s="82"/>
      <c r="S341" s="82"/>
      <c r="T341" s="82"/>
      <c r="U341" s="82"/>
      <c r="V341" s="82"/>
      <c r="W341" s="82"/>
    </row>
    <row r="342" spans="1:17" ht="12.75" customHeight="1">
      <c r="A342" s="20">
        <v>59</v>
      </c>
      <c r="C342" s="86" t="s">
        <v>192</v>
      </c>
      <c r="D342" s="83"/>
      <c r="E342" s="83">
        <f aca="true" t="shared" si="231" ref="E342:P342">E40-D23*D319</f>
        <v>-14.833439806675045</v>
      </c>
      <c r="F342" s="83">
        <f t="shared" si="231"/>
        <v>18.057830485731827</v>
      </c>
      <c r="G342" s="36">
        <f t="shared" si="231"/>
        <v>21.904643937270805</v>
      </c>
      <c r="H342" s="83">
        <f t="shared" si="231"/>
        <v>22.897189207318462</v>
      </c>
      <c r="I342" s="83">
        <f t="shared" si="231"/>
        <v>23.58784592077356</v>
      </c>
      <c r="J342" s="83">
        <f t="shared" si="231"/>
        <v>24.03706506190369</v>
      </c>
      <c r="K342" s="83">
        <f t="shared" si="231"/>
        <v>24.758177013760758</v>
      </c>
      <c r="L342" s="83">
        <f t="shared" si="231"/>
        <v>25.50092232417356</v>
      </c>
      <c r="M342" s="36">
        <f t="shared" si="231"/>
        <v>26.265949993898914</v>
      </c>
      <c r="N342" s="83">
        <f t="shared" si="231"/>
        <v>27.053928493715745</v>
      </c>
      <c r="O342" s="83">
        <f t="shared" si="231"/>
        <v>27.865546348527346</v>
      </c>
      <c r="P342" s="83">
        <f t="shared" si="231"/>
        <v>28.701512738983098</v>
      </c>
      <c r="Q342" s="1">
        <f>P342*(1+O$8)+P342*(1+O$8)*(1+O$8)/(P319-O$8)</f>
        <v>414.74392484539464</v>
      </c>
    </row>
    <row r="343" spans="1:17" ht="12.75" customHeight="1">
      <c r="A343" s="20">
        <v>60</v>
      </c>
      <c r="C343" s="66" t="s">
        <v>193</v>
      </c>
      <c r="D343" s="83"/>
      <c r="E343" s="83">
        <f aca="true" t="shared" si="232" ref="E343:P343">E40+E36*(1-$F$1)-(D22+D23)*D326</f>
        <v>-22.032740736402644</v>
      </c>
      <c r="F343" s="83">
        <f t="shared" si="232"/>
        <v>9.97802916097865</v>
      </c>
      <c r="G343" s="36">
        <f t="shared" si="232"/>
        <v>14.033480313415822</v>
      </c>
      <c r="H343" s="83">
        <f t="shared" si="232"/>
        <v>15.105871819207437</v>
      </c>
      <c r="I343" s="83">
        <f t="shared" si="232"/>
        <v>15.567554345150313</v>
      </c>
      <c r="J343" s="83">
        <f t="shared" si="232"/>
        <v>15.781520545539365</v>
      </c>
      <c r="K343" s="83">
        <f t="shared" si="232"/>
        <v>16.254966161905458</v>
      </c>
      <c r="L343" s="83">
        <f t="shared" si="232"/>
        <v>16.742615146762574</v>
      </c>
      <c r="M343" s="36">
        <f t="shared" si="232"/>
        <v>17.244893601165614</v>
      </c>
      <c r="N343" s="83">
        <f t="shared" si="232"/>
        <v>17.762240409200444</v>
      </c>
      <c r="O343" s="83">
        <f t="shared" si="232"/>
        <v>18.295107621476518</v>
      </c>
      <c r="P343" s="83">
        <f t="shared" si="232"/>
        <v>18.843960850120794</v>
      </c>
      <c r="Q343" s="84"/>
    </row>
    <row r="344" spans="1:23" s="51" customFormat="1" ht="12.75" customHeight="1">
      <c r="A344" s="54">
        <v>61</v>
      </c>
      <c r="C344" s="47" t="s">
        <v>194</v>
      </c>
      <c r="D344" s="22"/>
      <c r="E344" s="22">
        <f aca="true" t="shared" si="233" ref="E344:P344">E40+E36*(1-$F$1)-(D22+D23)*D341</f>
        <v>-14.833439806675045</v>
      </c>
      <c r="F344" s="22">
        <f t="shared" si="233"/>
        <v>18.057830485731813</v>
      </c>
      <c r="G344" s="111">
        <f t="shared" si="233"/>
        <v>21.904643937270805</v>
      </c>
      <c r="H344" s="22">
        <f t="shared" si="233"/>
        <v>22.897189207318462</v>
      </c>
      <c r="I344" s="22">
        <f t="shared" si="233"/>
        <v>23.58784592077359</v>
      </c>
      <c r="J344" s="22">
        <f t="shared" si="233"/>
        <v>24.03706506190369</v>
      </c>
      <c r="K344" s="22">
        <f t="shared" si="233"/>
        <v>24.758177013760758</v>
      </c>
      <c r="L344" s="22">
        <f t="shared" si="233"/>
        <v>25.500922324173587</v>
      </c>
      <c r="M344" s="111">
        <f t="shared" si="233"/>
        <v>26.265949993898914</v>
      </c>
      <c r="N344" s="22">
        <f t="shared" si="233"/>
        <v>27.053928493715745</v>
      </c>
      <c r="O344" s="22">
        <f t="shared" si="233"/>
        <v>27.865546348527346</v>
      </c>
      <c r="P344" s="22">
        <f t="shared" si="233"/>
        <v>28.701512738983155</v>
      </c>
      <c r="Q344" s="44"/>
      <c r="R344" s="82"/>
      <c r="S344" s="82"/>
      <c r="T344" s="82"/>
      <c r="U344" s="82"/>
      <c r="V344" s="82"/>
      <c r="W344" s="82"/>
    </row>
    <row r="345" spans="1:17" ht="12.75" customHeight="1">
      <c r="A345" s="20"/>
      <c r="C345" s="66"/>
      <c r="D345" s="83"/>
      <c r="E345" s="83"/>
      <c r="F345" s="83"/>
      <c r="G345" s="36"/>
      <c r="H345" s="83"/>
      <c r="I345" s="83"/>
      <c r="J345" s="83"/>
      <c r="K345" s="83"/>
      <c r="L345" s="83"/>
      <c r="M345" s="36"/>
      <c r="N345" s="83"/>
      <c r="O345" s="83"/>
      <c r="P345" s="83"/>
      <c r="Q345" s="84"/>
    </row>
    <row r="346" spans="1:17" ht="12.75" customHeight="1" hidden="1">
      <c r="A346" s="20"/>
      <c r="C346" s="26" t="s">
        <v>143</v>
      </c>
      <c r="D346" s="83"/>
      <c r="E346" s="83">
        <f aca="true" t="shared" si="234" ref="E346:P346">E320</f>
        <v>0.8986070729270349</v>
      </c>
      <c r="F346" s="83">
        <f t="shared" si="234"/>
        <v>0.8083947903740056</v>
      </c>
      <c r="G346" s="36">
        <f t="shared" si="234"/>
        <v>0.728311937937519</v>
      </c>
      <c r="H346" s="83">
        <f t="shared" si="234"/>
        <v>0.6567005631124544</v>
      </c>
      <c r="I346" s="83">
        <f t="shared" si="234"/>
        <v>0.5921291167408572</v>
      </c>
      <c r="J346" s="83">
        <f t="shared" si="234"/>
        <v>0.533905542182825</v>
      </c>
      <c r="K346" s="83">
        <f t="shared" si="234"/>
        <v>0.4814070443664562</v>
      </c>
      <c r="L346" s="83">
        <f t="shared" si="234"/>
        <v>0.4340706811511017</v>
      </c>
      <c r="M346" s="36">
        <f t="shared" si="234"/>
        <v>0.39138886403904494</v>
      </c>
      <c r="N346" s="83">
        <f t="shared" si="234"/>
        <v>0.35290391529680304</v>
      </c>
      <c r="O346" s="83">
        <f t="shared" si="234"/>
        <v>0.3182031602702649</v>
      </c>
      <c r="P346" s="83">
        <f t="shared" si="234"/>
        <v>0.28691450226849086</v>
      </c>
      <c r="Q346" s="87">
        <f>P346/(1+$P319)</f>
        <v>0.25870243256559</v>
      </c>
    </row>
    <row r="347" spans="1:17" ht="12.75" customHeight="1" hidden="1">
      <c r="A347" s="20"/>
      <c r="C347" s="26" t="s">
        <v>158</v>
      </c>
      <c r="D347" s="1"/>
      <c r="E347" s="1">
        <f aca="true" t="shared" si="235" ref="E347:Q347">E342*E346</f>
        <v>-13.329433926115625</v>
      </c>
      <c r="F347" s="1">
        <f t="shared" si="235"/>
        <v>14.597856090122509</v>
      </c>
      <c r="G347" s="36">
        <f t="shared" si="235"/>
        <v>15.953413675785027</v>
      </c>
      <c r="H347" s="1">
        <f t="shared" si="235"/>
        <v>15.036597046138446</v>
      </c>
      <c r="I347" s="1">
        <f t="shared" si="235"/>
        <v>13.96705037088708</v>
      </c>
      <c r="J347" s="1">
        <f t="shared" si="235"/>
        <v>12.833522254359531</v>
      </c>
      <c r="K347" s="1">
        <f t="shared" si="235"/>
        <v>11.918760820096102</v>
      </c>
      <c r="L347" s="1">
        <f t="shared" si="235"/>
        <v>11.069202723235351</v>
      </c>
      <c r="M347" s="36">
        <f t="shared" si="235"/>
        <v>10.280200331018456</v>
      </c>
      <c r="N347" s="1">
        <f t="shared" si="235"/>
        <v>9.547437289592027</v>
      </c>
      <c r="O347" s="1">
        <f t="shared" si="235"/>
        <v>8.866904910758942</v>
      </c>
      <c r="P347" s="1">
        <f t="shared" si="235"/>
        <v>8.234880241858086</v>
      </c>
      <c r="Q347" s="1">
        <f t="shared" si="235"/>
        <v>107.29526224930383</v>
      </c>
    </row>
    <row r="348" spans="1:17" ht="12.75" customHeight="1">
      <c r="A348" s="20">
        <v>62</v>
      </c>
      <c r="C348" s="51" t="s">
        <v>195</v>
      </c>
      <c r="D348" s="22">
        <f>SUM(E347:$Q347)/D320</f>
        <v>226.27165407703978</v>
      </c>
      <c r="E348" s="22">
        <f>SUM(F347:$Q347)/E320</f>
        <v>266.6361029439733</v>
      </c>
      <c r="F348" s="22">
        <f>SUM(G347:$Q347)/F320</f>
        <v>278.3333522089308</v>
      </c>
      <c r="G348" s="111">
        <f>SUM(H347:$Q347)/G320</f>
        <v>287.03335390773447</v>
      </c>
      <c r="H348" s="22">
        <f>SUM(I347:$Q347)/H320</f>
        <v>295.4363557594305</v>
      </c>
      <c r="I348" s="22">
        <f>SUM(J347:$Q347)/I320</f>
        <v>304.06572777777916</v>
      </c>
      <c r="J348" s="22">
        <f>SUM(K347:$Q347)/J320</f>
        <v>313.1876996111126</v>
      </c>
      <c r="K348" s="22">
        <f>SUM(L347:$Q347)/K320</f>
        <v>322.58333059944596</v>
      </c>
      <c r="L348" s="22">
        <f>SUM(M347:$Q347)/L320</f>
        <v>332.2608305174294</v>
      </c>
      <c r="M348" s="111">
        <f>SUM(N347:$Q347)/M320</f>
        <v>342.22865543295217</v>
      </c>
      <c r="N348" s="22">
        <f>SUM(O347:$Q347)/N320</f>
        <v>352.49551509594085</v>
      </c>
      <c r="O348" s="22">
        <f>SUM(P347:$Q347)/O320</f>
        <v>363.07038054881895</v>
      </c>
      <c r="P348" s="22">
        <f>SUM(Q347:$Q347)/P320</f>
        <v>373.9624919652835</v>
      </c>
      <c r="Q348" s="84"/>
    </row>
    <row r="349" spans="1:23" s="78" customFormat="1" ht="12.75" customHeight="1" thickBot="1">
      <c r="A349" s="77">
        <v>63</v>
      </c>
      <c r="B349" s="78" t="s">
        <v>160</v>
      </c>
      <c r="C349" s="91" t="s">
        <v>196</v>
      </c>
      <c r="D349" s="93">
        <f aca="true" t="shared" si="236" ref="D349:P349">D348+D23</f>
        <v>1226.2716540770398</v>
      </c>
      <c r="E349" s="93">
        <f t="shared" si="236"/>
        <v>1296.6361029439734</v>
      </c>
      <c r="F349" s="93">
        <f t="shared" si="236"/>
        <v>1543.3333522089308</v>
      </c>
      <c r="G349" s="116">
        <f t="shared" si="236"/>
        <v>1617.0333539077344</v>
      </c>
      <c r="H349" s="93">
        <f t="shared" si="236"/>
        <v>1665.3363557594307</v>
      </c>
      <c r="I349" s="93">
        <f t="shared" si="236"/>
        <v>1715.0627277777794</v>
      </c>
      <c r="J349" s="93">
        <f t="shared" si="236"/>
        <v>1766.5146096111127</v>
      </c>
      <c r="K349" s="93">
        <f t="shared" si="236"/>
        <v>1819.5100478994464</v>
      </c>
      <c r="L349" s="93">
        <f t="shared" si="236"/>
        <v>1874.095349336429</v>
      </c>
      <c r="M349" s="116">
        <f t="shared" si="236"/>
        <v>1930.3182098165223</v>
      </c>
      <c r="N349" s="93">
        <f t="shared" si="236"/>
        <v>1988.2277561110182</v>
      </c>
      <c r="O349" s="93">
        <f t="shared" si="236"/>
        <v>2047.8745887943485</v>
      </c>
      <c r="P349" s="93">
        <f t="shared" si="236"/>
        <v>2109.3108264581774</v>
      </c>
      <c r="Q349" s="109"/>
      <c r="R349" s="82"/>
      <c r="S349" s="82"/>
      <c r="T349" s="82"/>
      <c r="U349" s="82"/>
      <c r="V349" s="82"/>
      <c r="W349" s="82"/>
    </row>
    <row r="350" spans="1:17" s="82" customFormat="1" ht="12.75" customHeight="1">
      <c r="A350" s="65"/>
      <c r="C350" s="66"/>
      <c r="D350" s="67"/>
      <c r="E350" s="67"/>
      <c r="F350" s="67"/>
      <c r="G350" s="118"/>
      <c r="H350" s="67"/>
      <c r="I350" s="67"/>
      <c r="J350" s="67"/>
      <c r="K350" s="67"/>
      <c r="L350" s="67"/>
      <c r="M350" s="118"/>
      <c r="N350" s="67"/>
      <c r="O350" s="67"/>
      <c r="P350" s="67"/>
      <c r="Q350" s="84"/>
    </row>
    <row r="351" spans="1:17" s="82" customFormat="1" ht="12.75" customHeight="1" hidden="1">
      <c r="A351" s="88"/>
      <c r="C351" s="82" t="s">
        <v>22</v>
      </c>
      <c r="D351" s="71"/>
      <c r="E351" s="71">
        <f aca="true" t="shared" si="237" ref="E351:P351">E343</f>
        <v>-22.032740736402644</v>
      </c>
      <c r="F351" s="71">
        <f t="shared" si="237"/>
        <v>9.97802916097865</v>
      </c>
      <c r="G351" s="114">
        <f t="shared" si="237"/>
        <v>14.033480313415822</v>
      </c>
      <c r="H351" s="71">
        <f t="shared" si="237"/>
        <v>15.105871819207437</v>
      </c>
      <c r="I351" s="71">
        <f t="shared" si="237"/>
        <v>15.567554345150313</v>
      </c>
      <c r="J351" s="71">
        <f t="shared" si="237"/>
        <v>15.781520545539365</v>
      </c>
      <c r="K351" s="71">
        <f t="shared" si="237"/>
        <v>16.254966161905458</v>
      </c>
      <c r="L351" s="71">
        <f t="shared" si="237"/>
        <v>16.742615146762574</v>
      </c>
      <c r="M351" s="114">
        <f t="shared" si="237"/>
        <v>17.244893601165614</v>
      </c>
      <c r="N351" s="71">
        <f t="shared" si="237"/>
        <v>17.762240409200444</v>
      </c>
      <c r="O351" s="71">
        <f t="shared" si="237"/>
        <v>18.295107621476518</v>
      </c>
      <c r="P351" s="71">
        <f t="shared" si="237"/>
        <v>18.843960850120794</v>
      </c>
      <c r="Q351" s="1">
        <f>P351*(1+O$8)+P351*(1+O$8)*(1+O$8)/(P326-O$8)</f>
        <v>404.5906463998608</v>
      </c>
    </row>
    <row r="352" spans="1:17" ht="12.75" customHeight="1" hidden="1">
      <c r="A352" s="20"/>
      <c r="C352" s="26" t="s">
        <v>162</v>
      </c>
      <c r="D352" s="1"/>
      <c r="E352" s="1">
        <f aca="true" t="shared" si="238" ref="E352:Q352">E351*E327</f>
        <v>-20.38150516527159</v>
      </c>
      <c r="F352" s="1">
        <f t="shared" si="238"/>
        <v>8.536299898648933</v>
      </c>
      <c r="G352" s="36">
        <f t="shared" si="238"/>
        <v>11.09922408602832</v>
      </c>
      <c r="H352" s="1">
        <f t="shared" si="238"/>
        <v>11.042940361574521</v>
      </c>
      <c r="I352" s="1">
        <f t="shared" si="238"/>
        <v>10.518922740587984</v>
      </c>
      <c r="J352" s="1">
        <f t="shared" si="238"/>
        <v>9.856254904112971</v>
      </c>
      <c r="K352" s="1">
        <f t="shared" si="238"/>
        <v>9.383424378517656</v>
      </c>
      <c r="L352" s="1">
        <f t="shared" si="238"/>
        <v>8.933276779460867</v>
      </c>
      <c r="M352" s="36">
        <f t="shared" si="238"/>
        <v>8.504723947171899</v>
      </c>
      <c r="N352" s="1">
        <f t="shared" si="238"/>
        <v>8.09672992377195</v>
      </c>
      <c r="O352" s="1">
        <f t="shared" si="238"/>
        <v>7.7083084490125895</v>
      </c>
      <c r="P352" s="1">
        <f t="shared" si="238"/>
        <v>7.33852057614861</v>
      </c>
      <c r="Q352" s="1">
        <f t="shared" si="238"/>
        <v>145.63453319727154</v>
      </c>
    </row>
    <row r="353" spans="1:17" ht="12.75" customHeight="1">
      <c r="A353" s="20">
        <v>64</v>
      </c>
      <c r="C353" s="51" t="s">
        <v>197</v>
      </c>
      <c r="D353" s="22">
        <f>SUM(E352:$Q352)/D327</f>
        <v>226.27165407703626</v>
      </c>
      <c r="E353" s="22">
        <f>SUM(F352:$Q352)/E327</f>
        <v>266.6361029439696</v>
      </c>
      <c r="F353" s="22">
        <f>SUM(G352:$Q352)/F327</f>
        <v>278.3333522089269</v>
      </c>
      <c r="G353" s="111">
        <f>SUM(H352:$Q352)/G327</f>
        <v>287.03335390773043</v>
      </c>
      <c r="H353" s="22">
        <f>SUM(I352:$Q352)/H327</f>
        <v>295.43635575942625</v>
      </c>
      <c r="I353" s="22">
        <f>SUM(J352:$Q352)/I327</f>
        <v>304.0657277777747</v>
      </c>
      <c r="J353" s="22">
        <f>SUM(K352:$Q352)/J327</f>
        <v>313.1876996111079</v>
      </c>
      <c r="K353" s="22">
        <f>SUM(L352:$Q352)/K327</f>
        <v>322.5833305994412</v>
      </c>
      <c r="L353" s="22">
        <f>SUM(M352:$Q352)/L327</f>
        <v>332.2608305174245</v>
      </c>
      <c r="M353" s="111">
        <f>SUM(N352:$Q352)/M327</f>
        <v>342.2286554329471</v>
      </c>
      <c r="N353" s="22">
        <f>SUM(O352:$Q352)/N327</f>
        <v>352.49551509593556</v>
      </c>
      <c r="O353" s="22">
        <f>SUM(P352:$Q352)/O327</f>
        <v>363.0703805488136</v>
      </c>
      <c r="P353" s="22">
        <f>SUM(Q352:$Q352)/P327</f>
        <v>373.96249196527805</v>
      </c>
      <c r="Q353" s="22"/>
    </row>
    <row r="354" spans="1:23" s="78" customFormat="1" ht="12.75" customHeight="1" thickBot="1">
      <c r="A354" s="77">
        <v>65</v>
      </c>
      <c r="B354" s="78" t="s">
        <v>198</v>
      </c>
      <c r="C354" s="91"/>
      <c r="D354" s="93">
        <f>D353+D23-(D144-D140)</f>
        <v>1226.2716540770355</v>
      </c>
      <c r="E354" s="93">
        <f aca="true" t="shared" si="239" ref="E354:P354">E353+E23-(E144-E140)</f>
        <v>1296.6361029439686</v>
      </c>
      <c r="F354" s="93">
        <f t="shared" si="239"/>
        <v>1543.333352208926</v>
      </c>
      <c r="G354" s="116">
        <f t="shared" si="239"/>
        <v>1617.0333539077294</v>
      </c>
      <c r="H354" s="93">
        <f t="shared" si="239"/>
        <v>1665.3363557594253</v>
      </c>
      <c r="I354" s="93">
        <f t="shared" si="239"/>
        <v>1715.0627277777737</v>
      </c>
      <c r="J354" s="93">
        <f t="shared" si="239"/>
        <v>1766.5146096111066</v>
      </c>
      <c r="K354" s="93">
        <f t="shared" si="239"/>
        <v>1819.5100478994398</v>
      </c>
      <c r="L354" s="93">
        <f t="shared" si="239"/>
        <v>1874.0953493364225</v>
      </c>
      <c r="M354" s="93">
        <f t="shared" si="239"/>
        <v>1930.3182098165157</v>
      </c>
      <c r="N354" s="93">
        <f t="shared" si="239"/>
        <v>1988.2277561110109</v>
      </c>
      <c r="O354" s="93">
        <f t="shared" si="239"/>
        <v>2047.8745887943408</v>
      </c>
      <c r="P354" s="93">
        <f t="shared" si="239"/>
        <v>2109.3108264581697</v>
      </c>
      <c r="Q354" s="109"/>
      <c r="R354" s="82"/>
      <c r="S354" s="82"/>
      <c r="T354" s="82"/>
      <c r="U354" s="82"/>
      <c r="V354" s="82"/>
      <c r="W354" s="82"/>
    </row>
    <row r="355" spans="1:17" s="82" customFormat="1" ht="12.75" customHeight="1">
      <c r="A355" s="65"/>
      <c r="C355" s="66"/>
      <c r="D355" s="67"/>
      <c r="E355" s="67"/>
      <c r="F355" s="67"/>
      <c r="G355" s="118"/>
      <c r="H355" s="67"/>
      <c r="I355" s="67"/>
      <c r="J355" s="67"/>
      <c r="K355" s="67"/>
      <c r="L355" s="67"/>
      <c r="M355" s="67"/>
      <c r="N355" s="67"/>
      <c r="O355" s="67"/>
      <c r="P355" s="67"/>
      <c r="Q355" s="84"/>
    </row>
    <row r="356" spans="1:17" ht="12" customHeight="1" thickBot="1">
      <c r="A356" s="20"/>
      <c r="B356"/>
      <c r="C356"/>
      <c r="D356" s="127">
        <v>0</v>
      </c>
      <c r="E356" s="127">
        <v>1</v>
      </c>
      <c r="F356" s="127">
        <f aca="true" t="shared" si="240" ref="F356:Q356">E356+1</f>
        <v>2</v>
      </c>
      <c r="G356" s="137">
        <f t="shared" si="240"/>
        <v>3</v>
      </c>
      <c r="H356" s="127">
        <f t="shared" si="240"/>
        <v>4</v>
      </c>
      <c r="I356" s="127">
        <f t="shared" si="240"/>
        <v>5</v>
      </c>
      <c r="J356" s="127">
        <f t="shared" si="240"/>
        <v>6</v>
      </c>
      <c r="K356" s="127">
        <f t="shared" si="240"/>
        <v>7</v>
      </c>
      <c r="L356" s="127">
        <f t="shared" si="240"/>
        <v>8</v>
      </c>
      <c r="M356" s="137">
        <f t="shared" si="240"/>
        <v>9</v>
      </c>
      <c r="N356" s="127">
        <f t="shared" si="240"/>
        <v>10</v>
      </c>
      <c r="O356" s="127">
        <f t="shared" si="240"/>
        <v>11</v>
      </c>
      <c r="P356" s="127">
        <f t="shared" si="240"/>
        <v>12</v>
      </c>
      <c r="Q356" s="127">
        <f t="shared" si="240"/>
        <v>13</v>
      </c>
    </row>
    <row r="357" spans="1:17" ht="12" customHeight="1">
      <c r="A357" s="54">
        <v>27</v>
      </c>
      <c r="B357" s="51"/>
      <c r="C357" s="47" t="s">
        <v>18</v>
      </c>
      <c r="D357" s="51"/>
      <c r="E357" s="72">
        <f aca="true" t="shared" si="241" ref="E357:Q357">E$55-D323*(D319-D$133)</f>
        <v>39.99999999999997</v>
      </c>
      <c r="F357" s="72">
        <f t="shared" si="241"/>
        <v>-130.00000000000003</v>
      </c>
      <c r="G357" s="72">
        <f t="shared" si="241"/>
        <v>65.19999999999996</v>
      </c>
      <c r="H357" s="72">
        <f t="shared" si="241"/>
        <v>97.22999999999998</v>
      </c>
      <c r="I357" s="72">
        <f t="shared" si="241"/>
        <v>100.15389999999964</v>
      </c>
      <c r="J357" s="72">
        <f t="shared" si="241"/>
        <v>102.90376366666649</v>
      </c>
      <c r="K357" s="72">
        <f t="shared" si="241"/>
        <v>105.99087657666632</v>
      </c>
      <c r="L357" s="72">
        <f t="shared" si="241"/>
        <v>109.17060287396703</v>
      </c>
      <c r="M357" s="72">
        <f t="shared" si="241"/>
        <v>112.4457209601851</v>
      </c>
      <c r="N357" s="72">
        <f t="shared" si="241"/>
        <v>115.81909258899103</v>
      </c>
      <c r="O357" s="72">
        <f t="shared" si="241"/>
        <v>119.29366536666092</v>
      </c>
      <c r="P357" s="72">
        <f t="shared" si="241"/>
        <v>122.8724753276617</v>
      </c>
      <c r="Q357" s="72">
        <f t="shared" si="241"/>
        <v>126.55864958748936</v>
      </c>
    </row>
    <row r="358" spans="1:23" s="7" customFormat="1" ht="12" customHeight="1">
      <c r="A358" s="54">
        <v>28</v>
      </c>
      <c r="B358" s="47"/>
      <c r="C358" s="47" t="s">
        <v>15</v>
      </c>
      <c r="D358" s="47"/>
      <c r="E358" s="72">
        <f aca="true" t="shared" si="242" ref="E358:Q358">E$56-D330*(D326-D$133)</f>
        <v>130</v>
      </c>
      <c r="F358" s="72">
        <f t="shared" si="242"/>
        <v>-140</v>
      </c>
      <c r="G358" s="72">
        <f t="shared" si="242"/>
        <v>164.20000000000002</v>
      </c>
      <c r="H358" s="72">
        <f t="shared" si="242"/>
        <v>163.23000000000002</v>
      </c>
      <c r="I358" s="72">
        <f t="shared" si="242"/>
        <v>168.1338999999997</v>
      </c>
      <c r="J358" s="72">
        <f t="shared" si="242"/>
        <v>172.92316366666645</v>
      </c>
      <c r="K358" s="72">
        <f t="shared" si="242"/>
        <v>178.11085857666623</v>
      </c>
      <c r="L358" s="72">
        <f t="shared" si="242"/>
        <v>183.4541843339669</v>
      </c>
      <c r="M358" s="72">
        <f t="shared" si="242"/>
        <v>188.95780986398503</v>
      </c>
      <c r="N358" s="72">
        <f t="shared" si="242"/>
        <v>194.62654415990508</v>
      </c>
      <c r="O358" s="72">
        <f t="shared" si="242"/>
        <v>200.46534048470235</v>
      </c>
      <c r="P358" s="72">
        <f t="shared" si="242"/>
        <v>206.47930069924456</v>
      </c>
      <c r="Q358" s="72">
        <f t="shared" si="242"/>
        <v>212.67367972021955</v>
      </c>
      <c r="R358" s="66"/>
      <c r="S358" s="66"/>
      <c r="T358" s="66"/>
      <c r="U358" s="66"/>
      <c r="V358" s="66"/>
      <c r="W358" s="66"/>
    </row>
    <row r="359" spans="1:23" s="7" customFormat="1" ht="12" customHeight="1">
      <c r="A359" s="65"/>
      <c r="B359" s="66"/>
      <c r="C359" s="66"/>
      <c r="D359" s="113"/>
      <c r="E359" s="74"/>
      <c r="F359" s="74"/>
      <c r="G359" s="75"/>
      <c r="H359" s="74"/>
      <c r="I359" s="74"/>
      <c r="J359" s="74"/>
      <c r="K359" s="74"/>
      <c r="L359" s="74"/>
      <c r="M359" s="75"/>
      <c r="N359" s="74"/>
      <c r="O359" s="74"/>
      <c r="P359" s="74"/>
      <c r="Q359" s="74"/>
      <c r="R359" s="66"/>
      <c r="S359" s="66"/>
      <c r="T359" s="66"/>
      <c r="U359" s="66"/>
      <c r="V359" s="66"/>
      <c r="W359" s="66"/>
    </row>
    <row r="360" spans="1:23" s="7" customFormat="1" ht="12" customHeight="1">
      <c r="A360" s="20"/>
      <c r="C360" s="7" t="s">
        <v>1</v>
      </c>
      <c r="D360" s="60">
        <f aca="true" t="shared" si="243" ref="D360:Q360">D$133</f>
        <v>0.09</v>
      </c>
      <c r="E360" s="60">
        <f t="shared" si="243"/>
        <v>0.09</v>
      </c>
      <c r="F360" s="60">
        <f t="shared" si="243"/>
        <v>0.09</v>
      </c>
      <c r="G360" s="60">
        <f t="shared" si="243"/>
        <v>0.09</v>
      </c>
      <c r="H360" s="60">
        <f t="shared" si="243"/>
        <v>0.09</v>
      </c>
      <c r="I360" s="60">
        <f t="shared" si="243"/>
        <v>0.09</v>
      </c>
      <c r="J360" s="60">
        <f t="shared" si="243"/>
        <v>0.09</v>
      </c>
      <c r="K360" s="60">
        <f t="shared" si="243"/>
        <v>0.09</v>
      </c>
      <c r="L360" s="60">
        <f t="shared" si="243"/>
        <v>0.09</v>
      </c>
      <c r="M360" s="60">
        <f t="shared" si="243"/>
        <v>0.09</v>
      </c>
      <c r="N360" s="60">
        <f t="shared" si="243"/>
        <v>0.09</v>
      </c>
      <c r="O360" s="60">
        <f t="shared" si="243"/>
        <v>0.09</v>
      </c>
      <c r="P360" s="60">
        <f t="shared" si="243"/>
        <v>0.09</v>
      </c>
      <c r="Q360" s="60">
        <f t="shared" si="243"/>
        <v>0.09</v>
      </c>
      <c r="R360" s="66"/>
      <c r="S360" s="66"/>
      <c r="T360" s="66"/>
      <c r="U360" s="66"/>
      <c r="V360" s="66"/>
      <c r="W360" s="66"/>
    </row>
    <row r="361" spans="1:17" ht="12" customHeight="1" hidden="1">
      <c r="A361" s="20"/>
      <c r="C361" s="26" t="s">
        <v>143</v>
      </c>
      <c r="D361" s="14">
        <v>1</v>
      </c>
      <c r="E361" s="14">
        <f>1/(1+D360)</f>
        <v>0.9174311926605504</v>
      </c>
      <c r="F361" s="55">
        <f aca="true" t="shared" si="244" ref="F361:Q361">E361/(1+E360)</f>
        <v>0.84167999326656</v>
      </c>
      <c r="G361" s="117">
        <f t="shared" si="244"/>
        <v>0.7721834800610641</v>
      </c>
      <c r="H361" s="55">
        <f t="shared" si="244"/>
        <v>0.7084252110651964</v>
      </c>
      <c r="I361" s="55">
        <f t="shared" si="244"/>
        <v>0.6499313862983452</v>
      </c>
      <c r="J361" s="55">
        <f t="shared" si="244"/>
        <v>0.5962673268792158</v>
      </c>
      <c r="K361" s="55">
        <f t="shared" si="244"/>
        <v>0.5470342448433172</v>
      </c>
      <c r="L361" s="55">
        <f t="shared" si="244"/>
        <v>0.501866279672768</v>
      </c>
      <c r="M361" s="117">
        <f t="shared" si="244"/>
        <v>0.4604277795163009</v>
      </c>
      <c r="N361" s="55">
        <f t="shared" si="244"/>
        <v>0.42241080689568883</v>
      </c>
      <c r="O361" s="55">
        <f t="shared" si="244"/>
        <v>0.38753285036301727</v>
      </c>
      <c r="P361" s="55">
        <f t="shared" si="244"/>
        <v>0.35553472510368556</v>
      </c>
      <c r="Q361" s="55">
        <f t="shared" si="244"/>
        <v>0.3261786468841152</v>
      </c>
    </row>
    <row r="362" spans="1:17" ht="12" customHeight="1" hidden="1">
      <c r="A362" s="20"/>
      <c r="B362" s="51"/>
      <c r="C362" s="51" t="s">
        <v>81</v>
      </c>
      <c r="D362" s="51"/>
      <c r="E362" s="28">
        <f aca="true" t="shared" si="245" ref="E362:P362">E357</f>
        <v>39.99999999999997</v>
      </c>
      <c r="F362" s="28">
        <f t="shared" si="245"/>
        <v>-130.00000000000003</v>
      </c>
      <c r="G362" s="122">
        <f t="shared" si="245"/>
        <v>65.19999999999996</v>
      </c>
      <c r="H362" s="28">
        <f t="shared" si="245"/>
        <v>97.22999999999998</v>
      </c>
      <c r="I362" s="28">
        <f t="shared" si="245"/>
        <v>100.15389999999964</v>
      </c>
      <c r="J362" s="28">
        <f t="shared" si="245"/>
        <v>102.90376366666649</v>
      </c>
      <c r="K362" s="28">
        <f t="shared" si="245"/>
        <v>105.99087657666632</v>
      </c>
      <c r="L362" s="28">
        <f t="shared" si="245"/>
        <v>109.17060287396703</v>
      </c>
      <c r="M362" s="28">
        <f t="shared" si="245"/>
        <v>112.4457209601851</v>
      </c>
      <c r="N362" s="28">
        <f t="shared" si="245"/>
        <v>115.81909258899103</v>
      </c>
      <c r="O362" s="28">
        <f t="shared" si="245"/>
        <v>119.29366536666092</v>
      </c>
      <c r="P362" s="28">
        <f t="shared" si="245"/>
        <v>122.8724753276617</v>
      </c>
      <c r="Q362" s="1">
        <f>P362*(1+O$8)+P362*(1+O$8)*(1+O$8)/(P360-O$8)</f>
        <v>2299.14880083943</v>
      </c>
    </row>
    <row r="363" spans="1:17" ht="12" customHeight="1" hidden="1">
      <c r="A363" s="20"/>
      <c r="C363" s="26" t="s">
        <v>144</v>
      </c>
      <c r="D363" s="1"/>
      <c r="E363" s="1">
        <f aca="true" t="shared" si="246" ref="E363:Q363">E362*E361</f>
        <v>36.69724770642199</v>
      </c>
      <c r="F363" s="1">
        <f t="shared" si="246"/>
        <v>-109.41839912465282</v>
      </c>
      <c r="G363" s="36">
        <f t="shared" si="246"/>
        <v>50.346362899981344</v>
      </c>
      <c r="H363" s="1">
        <f t="shared" si="246"/>
        <v>68.88018327186903</v>
      </c>
      <c r="I363" s="1">
        <f t="shared" si="246"/>
        <v>65.0931630701856</v>
      </c>
      <c r="J363" s="1">
        <f t="shared" si="246"/>
        <v>61.3581520873338</v>
      </c>
      <c r="K363" s="1">
        <f t="shared" si="246"/>
        <v>57.9806391283979</v>
      </c>
      <c r="L363" s="1">
        <f t="shared" si="246"/>
        <v>54.78904431399102</v>
      </c>
      <c r="M363" s="36">
        <f t="shared" si="246"/>
        <v>51.773133617807595</v>
      </c>
      <c r="N363" s="1">
        <f t="shared" si="246"/>
        <v>48.923236354442196</v>
      </c>
      <c r="O363" s="1">
        <f t="shared" si="246"/>
        <v>46.23021416979406</v>
      </c>
      <c r="P363" s="1">
        <f t="shared" si="246"/>
        <v>43.68543173842959</v>
      </c>
      <c r="Q363" s="1">
        <f t="shared" si="246"/>
        <v>749.9332448430413</v>
      </c>
    </row>
    <row r="364" spans="1:17" ht="12" customHeight="1">
      <c r="A364" s="20">
        <v>49</v>
      </c>
      <c r="C364" s="56" t="s">
        <v>166</v>
      </c>
      <c r="D364" s="46">
        <f>SUM(E363:$Q363)/D361</f>
        <v>1226.2716540770427</v>
      </c>
      <c r="E364" s="46">
        <f>SUM(F363:$Q363)/E361</f>
        <v>1296.6361029439765</v>
      </c>
      <c r="F364" s="46">
        <f>SUM(G363:$Q363)/F361</f>
        <v>1543.3333522089345</v>
      </c>
      <c r="G364" s="33">
        <f>SUM(H363:$Q363)/G361</f>
        <v>1617.0333539077392</v>
      </c>
      <c r="H364" s="46">
        <f>SUM(I363:$Q363)/H361</f>
        <v>1665.3363557594355</v>
      </c>
      <c r="I364" s="46">
        <f>SUM(J363:$Q363)/I361</f>
        <v>1715.062727777785</v>
      </c>
      <c r="J364" s="46">
        <f>SUM(K363:$Q363)/J361</f>
        <v>1766.5146096111193</v>
      </c>
      <c r="K364" s="46">
        <f>SUM(L363:$Q363)/K361</f>
        <v>1819.510047899454</v>
      </c>
      <c r="L364" s="46">
        <f>SUM(M363:$Q363)/L361</f>
        <v>1874.0953493364382</v>
      </c>
      <c r="M364" s="33">
        <f>SUM(N363:$Q363)/M361</f>
        <v>1930.3182098165328</v>
      </c>
      <c r="N364" s="46">
        <f>SUM(O363:$Q363)/N361</f>
        <v>1988.2277561110297</v>
      </c>
      <c r="O364" s="46">
        <f>SUM(P363:$Q363)/O361</f>
        <v>2047.8745887943614</v>
      </c>
      <c r="P364" s="46">
        <f>SUM(Q363:$Q363)/P361</f>
        <v>2109.3108264581924</v>
      </c>
      <c r="Q364" s="46"/>
    </row>
    <row r="365" spans="1:16" ht="12.75" customHeight="1">
      <c r="A365" s="20"/>
      <c r="D365" s="50"/>
      <c r="E365" s="50"/>
      <c r="F365" s="50"/>
      <c r="G365" s="199"/>
      <c r="H365" s="50"/>
      <c r="I365" s="50"/>
      <c r="J365" s="50"/>
      <c r="K365" s="50"/>
      <c r="L365" s="50"/>
      <c r="M365" s="38"/>
      <c r="N365" s="50"/>
      <c r="O365" s="50"/>
      <c r="P365" s="50"/>
    </row>
    <row r="366" spans="1:23" s="7" customFormat="1" ht="12" customHeight="1">
      <c r="A366" s="20"/>
      <c r="C366" s="7" t="s">
        <v>1</v>
      </c>
      <c r="D366" s="60">
        <f aca="true" t="shared" si="247" ref="D366:Q366">D$133</f>
        <v>0.09</v>
      </c>
      <c r="E366" s="60">
        <f t="shared" si="247"/>
        <v>0.09</v>
      </c>
      <c r="F366" s="60">
        <f t="shared" si="247"/>
        <v>0.09</v>
      </c>
      <c r="G366" s="60">
        <f t="shared" si="247"/>
        <v>0.09</v>
      </c>
      <c r="H366" s="60">
        <f t="shared" si="247"/>
        <v>0.09</v>
      </c>
      <c r="I366" s="60">
        <f t="shared" si="247"/>
        <v>0.09</v>
      </c>
      <c r="J366" s="60">
        <f t="shared" si="247"/>
        <v>0.09</v>
      </c>
      <c r="K366" s="60">
        <f t="shared" si="247"/>
        <v>0.09</v>
      </c>
      <c r="L366" s="60">
        <f t="shared" si="247"/>
        <v>0.09</v>
      </c>
      <c r="M366" s="60">
        <f t="shared" si="247"/>
        <v>0.09</v>
      </c>
      <c r="N366" s="60">
        <f t="shared" si="247"/>
        <v>0.09</v>
      </c>
      <c r="O366" s="60">
        <f t="shared" si="247"/>
        <v>0.09</v>
      </c>
      <c r="P366" s="60">
        <f t="shared" si="247"/>
        <v>0.09</v>
      </c>
      <c r="Q366" s="60">
        <f t="shared" si="247"/>
        <v>0.09</v>
      </c>
      <c r="R366" s="66"/>
      <c r="S366" s="66"/>
      <c r="T366" s="66"/>
      <c r="U366" s="66"/>
      <c r="V366" s="66"/>
      <c r="W366" s="66"/>
    </row>
    <row r="367" spans="1:17" ht="10.5" customHeight="1" hidden="1">
      <c r="A367" s="20"/>
      <c r="C367" s="26" t="s">
        <v>147</v>
      </c>
      <c r="D367" s="14">
        <v>1</v>
      </c>
      <c r="E367" s="14">
        <f>1/(1+D366)</f>
        <v>0.9174311926605504</v>
      </c>
      <c r="F367" s="14">
        <f aca="true" t="shared" si="248" ref="F367:Q367">E367/(1+E366)</f>
        <v>0.84167999326656</v>
      </c>
      <c r="G367" s="119">
        <f t="shared" si="248"/>
        <v>0.7721834800610641</v>
      </c>
      <c r="H367" s="14">
        <f t="shared" si="248"/>
        <v>0.7084252110651964</v>
      </c>
      <c r="I367" s="14">
        <f t="shared" si="248"/>
        <v>0.6499313862983452</v>
      </c>
      <c r="J367" s="14">
        <f t="shared" si="248"/>
        <v>0.5962673268792158</v>
      </c>
      <c r="K367" s="14">
        <f t="shared" si="248"/>
        <v>0.5470342448433172</v>
      </c>
      <c r="L367" s="14">
        <f t="shared" si="248"/>
        <v>0.501866279672768</v>
      </c>
      <c r="M367" s="119">
        <f t="shared" si="248"/>
        <v>0.4604277795163009</v>
      </c>
      <c r="N367" s="14">
        <f t="shared" si="248"/>
        <v>0.42241080689568883</v>
      </c>
      <c r="O367" s="14">
        <f t="shared" si="248"/>
        <v>0.38753285036301727</v>
      </c>
      <c r="P367" s="14">
        <f t="shared" si="248"/>
        <v>0.35553472510368556</v>
      </c>
      <c r="Q367" s="14">
        <f t="shared" si="248"/>
        <v>0.3261786468841152</v>
      </c>
    </row>
    <row r="368" spans="1:17" ht="10.5" customHeight="1" hidden="1">
      <c r="A368" s="54"/>
      <c r="B368" s="51"/>
      <c r="C368" s="51" t="s">
        <v>82</v>
      </c>
      <c r="D368" s="51"/>
      <c r="E368" s="51">
        <f aca="true" t="shared" si="249" ref="E368:P368">E358</f>
        <v>130</v>
      </c>
      <c r="F368" s="51">
        <f t="shared" si="249"/>
        <v>-140</v>
      </c>
      <c r="G368" s="120">
        <f t="shared" si="249"/>
        <v>164.20000000000002</v>
      </c>
      <c r="H368" s="51">
        <f t="shared" si="249"/>
        <v>163.23000000000002</v>
      </c>
      <c r="I368" s="51">
        <f t="shared" si="249"/>
        <v>168.1338999999997</v>
      </c>
      <c r="J368" s="51">
        <f t="shared" si="249"/>
        <v>172.92316366666645</v>
      </c>
      <c r="K368" s="51">
        <f t="shared" si="249"/>
        <v>178.11085857666623</v>
      </c>
      <c r="L368" s="51">
        <f t="shared" si="249"/>
        <v>183.4541843339669</v>
      </c>
      <c r="M368" s="120">
        <f t="shared" si="249"/>
        <v>188.95780986398503</v>
      </c>
      <c r="N368" s="51">
        <f t="shared" si="249"/>
        <v>194.62654415990508</v>
      </c>
      <c r="O368" s="51">
        <f t="shared" si="249"/>
        <v>200.46534048470235</v>
      </c>
      <c r="P368" s="51">
        <f t="shared" si="249"/>
        <v>206.47930069924456</v>
      </c>
      <c r="Q368" s="1">
        <f>P368*(1+O$8)+P368*(1+O$8)*(1+O$8)/(P366-O$8)</f>
        <v>3863.571848250698</v>
      </c>
    </row>
    <row r="369" spans="1:17" ht="10.5" customHeight="1" hidden="1">
      <c r="A369" s="20"/>
      <c r="C369" s="26" t="s">
        <v>127</v>
      </c>
      <c r="D369" s="1"/>
      <c r="E369" s="1">
        <f aca="true" t="shared" si="250" ref="E369:Q369">E368*E367</f>
        <v>119.26605504587155</v>
      </c>
      <c r="F369" s="1">
        <f t="shared" si="250"/>
        <v>-117.83519905731839</v>
      </c>
      <c r="G369" s="36">
        <f t="shared" si="250"/>
        <v>126.79252742602674</v>
      </c>
      <c r="H369" s="1">
        <f t="shared" si="250"/>
        <v>115.63624720217202</v>
      </c>
      <c r="I369" s="1">
        <f t="shared" si="250"/>
        <v>109.27549871074716</v>
      </c>
      <c r="J369" s="1">
        <f t="shared" si="250"/>
        <v>103.10843255502034</v>
      </c>
      <c r="K369" s="1">
        <f t="shared" si="250"/>
        <v>97.43273901988148</v>
      </c>
      <c r="L369" s="1">
        <f t="shared" si="250"/>
        <v>92.06946898209017</v>
      </c>
      <c r="M369" s="36">
        <f t="shared" si="250"/>
        <v>87.001424817938</v>
      </c>
      <c r="N369" s="1">
        <f t="shared" si="250"/>
        <v>82.21235556190491</v>
      </c>
      <c r="O369" s="1">
        <f t="shared" si="250"/>
        <v>77.68690479702947</v>
      </c>
      <c r="P369" s="1">
        <f t="shared" si="250"/>
        <v>73.41056141370714</v>
      </c>
      <c r="Q369" s="1">
        <f t="shared" si="250"/>
        <v>1260.2146376019728</v>
      </c>
    </row>
    <row r="370" spans="1:17" ht="10.5" customHeight="1">
      <c r="A370" s="20">
        <v>52</v>
      </c>
      <c r="B370" s="4" t="s">
        <v>167</v>
      </c>
      <c r="C370" s="51" t="s">
        <v>168</v>
      </c>
      <c r="D370" s="22">
        <f>SUM(E369:$Q369)/D367</f>
        <v>2226.2716540770434</v>
      </c>
      <c r="E370" s="22">
        <f>SUM(F369:$Q369)/E367</f>
        <v>2296.636102943977</v>
      </c>
      <c r="F370" s="22">
        <f>SUM(G369:$Q369)/F367</f>
        <v>2643.3333522089356</v>
      </c>
      <c r="G370" s="111">
        <f>SUM(H369:$Q369)/G367</f>
        <v>2717.03335390774</v>
      </c>
      <c r="H370" s="22">
        <f>SUM(I369:$Q369)/H367</f>
        <v>2798.3363557594366</v>
      </c>
      <c r="I370" s="22">
        <f>SUM(J369:$Q369)/I367</f>
        <v>2882.0527277777865</v>
      </c>
      <c r="J370" s="22">
        <f>SUM(K369:$Q369)/J367</f>
        <v>2968.5143096111215</v>
      </c>
      <c r="K370" s="22">
        <f>SUM(L369:$Q369)/K367</f>
        <v>3057.569738899456</v>
      </c>
      <c r="L370" s="22">
        <f>SUM(M369:$Q369)/L367</f>
        <v>3149.296831066441</v>
      </c>
      <c r="M370" s="111">
        <f>SUM(N369:$Q369)/M367</f>
        <v>3243.7757359984357</v>
      </c>
      <c r="N370" s="22">
        <f>SUM(O369:$Q369)/N367</f>
        <v>3341.08900807839</v>
      </c>
      <c r="O370" s="22">
        <f>SUM(P369:$Q369)/O367</f>
        <v>3441.321678320743</v>
      </c>
      <c r="P370" s="22">
        <f>SUM(Q369:$Q369)/P367</f>
        <v>3544.561328670365</v>
      </c>
      <c r="Q370" s="22"/>
    </row>
    <row r="371" spans="1:17" ht="12.75" customHeight="1">
      <c r="A371" s="20">
        <v>53</v>
      </c>
      <c r="B371" s="4" t="s">
        <v>138</v>
      </c>
      <c r="C371" s="47" t="s">
        <v>169</v>
      </c>
      <c r="D371" s="46">
        <f>D370-D$144</f>
        <v>1226.2716540770427</v>
      </c>
      <c r="E371" s="46">
        <f aca="true" t="shared" si="251" ref="E371:P371">E370-E$144</f>
        <v>1296.6361029439763</v>
      </c>
      <c r="F371" s="46">
        <f t="shared" si="251"/>
        <v>1543.3333522089347</v>
      </c>
      <c r="G371" s="46">
        <f t="shared" si="251"/>
        <v>1617.033353907739</v>
      </c>
      <c r="H371" s="46">
        <f t="shared" si="251"/>
        <v>1665.3363557594355</v>
      </c>
      <c r="I371" s="46">
        <f t="shared" si="251"/>
        <v>1715.062727777785</v>
      </c>
      <c r="J371" s="46">
        <f t="shared" si="251"/>
        <v>1766.5146096111198</v>
      </c>
      <c r="K371" s="46">
        <f t="shared" si="251"/>
        <v>1819.510047899454</v>
      </c>
      <c r="L371" s="46">
        <f t="shared" si="251"/>
        <v>1874.095349336439</v>
      </c>
      <c r="M371" s="46">
        <f t="shared" si="251"/>
        <v>1930.3182098165337</v>
      </c>
      <c r="N371" s="46">
        <f t="shared" si="251"/>
        <v>1988.2277561110307</v>
      </c>
      <c r="O371" s="46">
        <f t="shared" si="251"/>
        <v>2047.8745887943626</v>
      </c>
      <c r="P371" s="46">
        <f t="shared" si="251"/>
        <v>2109.3108264581933</v>
      </c>
      <c r="Q371" s="24"/>
    </row>
    <row r="372" spans="1:17" s="82" customFormat="1" ht="12.75" customHeight="1">
      <c r="A372" s="65"/>
      <c r="C372" s="66"/>
      <c r="D372" s="67"/>
      <c r="E372" s="67"/>
      <c r="F372" s="67"/>
      <c r="G372" s="118"/>
      <c r="H372" s="67"/>
      <c r="I372" s="67"/>
      <c r="J372" s="67"/>
      <c r="K372" s="67"/>
      <c r="L372" s="67"/>
      <c r="M372" s="67"/>
      <c r="N372" s="67"/>
      <c r="O372" s="67"/>
      <c r="P372" s="67"/>
      <c r="Q372" s="84"/>
    </row>
    <row r="373" spans="1:17" s="82" customFormat="1" ht="12.75" customHeight="1">
      <c r="A373" s="65"/>
      <c r="C373" s="66"/>
      <c r="D373" s="67"/>
      <c r="E373" s="67"/>
      <c r="F373" s="67"/>
      <c r="G373" s="118"/>
      <c r="H373" s="67"/>
      <c r="I373" s="67"/>
      <c r="J373" s="67"/>
      <c r="K373" s="67"/>
      <c r="L373" s="67"/>
      <c r="M373" s="67"/>
      <c r="N373" s="67"/>
      <c r="O373" s="67"/>
      <c r="P373" s="67"/>
      <c r="Q373" s="84"/>
    </row>
    <row r="374" spans="1:9" ht="12" customHeight="1">
      <c r="A374" s="20"/>
      <c r="B374" s="27"/>
      <c r="C374" s="27"/>
      <c r="D374" s="27"/>
      <c r="E374" s="27"/>
      <c r="F374" s="27"/>
      <c r="G374" s="32"/>
      <c r="H374" s="16"/>
      <c r="I374" s="134" t="s">
        <v>199</v>
      </c>
    </row>
    <row r="375" spans="1:8" ht="12" customHeight="1">
      <c r="A375" s="20"/>
      <c r="B375" s="27"/>
      <c r="C375" s="27"/>
      <c r="D375" s="27"/>
      <c r="E375" s="27"/>
      <c r="F375" s="27"/>
      <c r="G375" s="32"/>
      <c r="H375" s="16"/>
    </row>
    <row r="376" spans="1:15" ht="12" customHeight="1">
      <c r="A376" s="20"/>
      <c r="B376" s="27"/>
      <c r="C376" s="27"/>
      <c r="D376" s="27"/>
      <c r="E376" s="27"/>
      <c r="F376" s="27"/>
      <c r="G376" s="32"/>
      <c r="H376" s="16"/>
      <c r="M376" s="38"/>
      <c r="N376" s="8" t="s">
        <v>45</v>
      </c>
      <c r="O376" s="17">
        <v>0.05</v>
      </c>
    </row>
    <row r="377" spans="1:17" ht="12" customHeight="1" thickBot="1">
      <c r="A377" s="20"/>
      <c r="B377"/>
      <c r="C377"/>
      <c r="D377" s="127">
        <v>0</v>
      </c>
      <c r="E377" s="127">
        <v>1</v>
      </c>
      <c r="F377" s="127">
        <f aca="true" t="shared" si="252" ref="F377:Q377">E377+1</f>
        <v>2</v>
      </c>
      <c r="G377" s="137">
        <f t="shared" si="252"/>
        <v>3</v>
      </c>
      <c r="H377" s="127">
        <f t="shared" si="252"/>
        <v>4</v>
      </c>
      <c r="I377" s="127">
        <f t="shared" si="252"/>
        <v>5</v>
      </c>
      <c r="J377" s="127">
        <f t="shared" si="252"/>
        <v>6</v>
      </c>
      <c r="K377" s="127">
        <f t="shared" si="252"/>
        <v>7</v>
      </c>
      <c r="L377" s="127">
        <f t="shared" si="252"/>
        <v>8</v>
      </c>
      <c r="M377" s="137">
        <f t="shared" si="252"/>
        <v>9</v>
      </c>
      <c r="N377" s="127">
        <f t="shared" si="252"/>
        <v>10</v>
      </c>
      <c r="O377" s="127">
        <f t="shared" si="252"/>
        <v>11</v>
      </c>
      <c r="P377" s="127">
        <f t="shared" si="252"/>
        <v>12</v>
      </c>
      <c r="Q377" s="127">
        <f t="shared" si="252"/>
        <v>13</v>
      </c>
    </row>
    <row r="378" spans="1:17" ht="12" customHeight="1">
      <c r="A378" s="20"/>
      <c r="B378" s="27"/>
      <c r="C378" s="18"/>
      <c r="D378" s="25"/>
      <c r="E378" s="25"/>
      <c r="F378" s="25"/>
      <c r="G378" s="31"/>
      <c r="H378" s="25"/>
      <c r="I378" s="25"/>
      <c r="J378" s="25"/>
      <c r="K378" s="25"/>
      <c r="L378" s="25"/>
      <c r="M378" s="31"/>
      <c r="N378" s="25"/>
      <c r="O378" s="25"/>
      <c r="P378" s="25"/>
      <c r="Q378" s="25"/>
    </row>
    <row r="379" spans="1:17" ht="12" customHeight="1">
      <c r="A379" s="54">
        <v>27</v>
      </c>
      <c r="B379" s="51"/>
      <c r="C379" s="47" t="s">
        <v>81</v>
      </c>
      <c r="D379" s="51"/>
      <c r="E379" s="72">
        <f aca="true" t="shared" si="253" ref="E379:Q379">E55</f>
        <v>68</v>
      </c>
      <c r="F379" s="72">
        <f t="shared" si="253"/>
        <v>-102</v>
      </c>
      <c r="G379" s="73">
        <f t="shared" si="253"/>
        <v>96</v>
      </c>
      <c r="H379" s="72">
        <f t="shared" si="253"/>
        <v>128.03000000000003</v>
      </c>
      <c r="I379" s="72">
        <f t="shared" si="253"/>
        <v>131.87789999999967</v>
      </c>
      <c r="J379" s="72">
        <f t="shared" si="253"/>
        <v>135.57948366666653</v>
      </c>
      <c r="K379" s="72">
        <f t="shared" si="253"/>
        <v>139.64686817666637</v>
      </c>
      <c r="L379" s="72">
        <f t="shared" si="253"/>
        <v>143.83627422196707</v>
      </c>
      <c r="M379" s="73">
        <f t="shared" si="253"/>
        <v>148.15136244862515</v>
      </c>
      <c r="N379" s="72">
        <f t="shared" si="253"/>
        <v>152.59590332208427</v>
      </c>
      <c r="O379" s="72">
        <f t="shared" si="253"/>
        <v>157.17378042174698</v>
      </c>
      <c r="P379" s="72">
        <f t="shared" si="253"/>
        <v>161.88899383440037</v>
      </c>
      <c r="Q379" s="72">
        <f t="shared" si="253"/>
        <v>166.74566364943018</v>
      </c>
    </row>
    <row r="380" spans="1:23" s="7" customFormat="1" ht="12" customHeight="1">
      <c r="A380" s="54">
        <v>28</v>
      </c>
      <c r="B380" s="47"/>
      <c r="C380" s="47" t="s">
        <v>82</v>
      </c>
      <c r="D380" s="47"/>
      <c r="E380" s="72">
        <f aca="true" t="shared" si="254" ref="E380:Q380">E56</f>
        <v>110</v>
      </c>
      <c r="F380" s="72">
        <f t="shared" si="254"/>
        <v>-160</v>
      </c>
      <c r="G380" s="73">
        <f t="shared" si="254"/>
        <v>142.2</v>
      </c>
      <c r="H380" s="72">
        <f t="shared" si="254"/>
        <v>141.23000000000002</v>
      </c>
      <c r="I380" s="72">
        <f t="shared" si="254"/>
        <v>145.47389999999967</v>
      </c>
      <c r="J380" s="72">
        <f t="shared" si="254"/>
        <v>149.58336366666646</v>
      </c>
      <c r="K380" s="72">
        <f t="shared" si="254"/>
        <v>154.07086457666628</v>
      </c>
      <c r="L380" s="72">
        <f t="shared" si="254"/>
        <v>158.69299051396695</v>
      </c>
      <c r="M380" s="73">
        <f t="shared" si="254"/>
        <v>163.45378022938502</v>
      </c>
      <c r="N380" s="72">
        <f t="shared" si="254"/>
        <v>168.35739363626706</v>
      </c>
      <c r="O380" s="72">
        <f t="shared" si="254"/>
        <v>173.40811544535524</v>
      </c>
      <c r="P380" s="72">
        <f t="shared" si="254"/>
        <v>178.61035890871696</v>
      </c>
      <c r="Q380" s="72">
        <f t="shared" si="254"/>
        <v>183.96866967597617</v>
      </c>
      <c r="R380" s="66"/>
      <c r="S380" s="66"/>
      <c r="T380" s="66"/>
      <c r="U380" s="66"/>
      <c r="V380" s="66"/>
      <c r="W380" s="66"/>
    </row>
    <row r="381" spans="1:23" s="7" customFormat="1" ht="12" customHeight="1">
      <c r="A381" s="54">
        <v>29</v>
      </c>
      <c r="B381" s="47"/>
      <c r="C381" s="47" t="s">
        <v>83</v>
      </c>
      <c r="D381" s="47"/>
      <c r="E381" s="72">
        <f aca="true" t="shared" si="255" ref="E381:Q381">E57</f>
        <v>60</v>
      </c>
      <c r="F381" s="72">
        <f t="shared" si="255"/>
        <v>-40</v>
      </c>
      <c r="G381" s="73">
        <f t="shared" si="255"/>
        <v>66</v>
      </c>
      <c r="H381" s="72">
        <f t="shared" si="255"/>
        <v>33</v>
      </c>
      <c r="I381" s="72">
        <f t="shared" si="255"/>
        <v>33.989999999999995</v>
      </c>
      <c r="J381" s="72">
        <f t="shared" si="255"/>
        <v>35.00969999999994</v>
      </c>
      <c r="K381" s="72">
        <f t="shared" si="255"/>
        <v>36.059990999999926</v>
      </c>
      <c r="L381" s="72">
        <f t="shared" si="255"/>
        <v>37.14179072999987</v>
      </c>
      <c r="M381" s="73">
        <f t="shared" si="255"/>
        <v>38.25604445189987</v>
      </c>
      <c r="N381" s="72">
        <f t="shared" si="255"/>
        <v>39.403725785457</v>
      </c>
      <c r="O381" s="72">
        <f t="shared" si="255"/>
        <v>40.585837559020675</v>
      </c>
      <c r="P381" s="72">
        <f t="shared" si="255"/>
        <v>41.803412685791415</v>
      </c>
      <c r="Q381" s="72">
        <f t="shared" si="255"/>
        <v>1521.3655323449022</v>
      </c>
      <c r="R381" s="66"/>
      <c r="S381" s="66"/>
      <c r="T381" s="66"/>
      <c r="U381" s="66"/>
      <c r="V381" s="66"/>
      <c r="W381" s="66"/>
    </row>
    <row r="382" spans="1:23" s="7" customFormat="1" ht="12" customHeight="1">
      <c r="A382" s="54">
        <v>30</v>
      </c>
      <c r="B382" s="47"/>
      <c r="C382" s="47" t="s">
        <v>84</v>
      </c>
      <c r="D382" s="76"/>
      <c r="E382" s="72">
        <f aca="true" t="shared" si="256" ref="E382:Q382">E58</f>
        <v>128</v>
      </c>
      <c r="F382" s="72">
        <f t="shared" si="256"/>
        <v>-142</v>
      </c>
      <c r="G382" s="73">
        <f t="shared" si="256"/>
        <v>162</v>
      </c>
      <c r="H382" s="72">
        <f t="shared" si="256"/>
        <v>161.03000000000003</v>
      </c>
      <c r="I382" s="72">
        <f t="shared" si="256"/>
        <v>165.86789999999968</v>
      </c>
      <c r="J382" s="72">
        <f t="shared" si="256"/>
        <v>170.5891836666665</v>
      </c>
      <c r="K382" s="72">
        <f t="shared" si="256"/>
        <v>175.70685917666628</v>
      </c>
      <c r="L382" s="72">
        <f t="shared" si="256"/>
        <v>180.97806495196693</v>
      </c>
      <c r="M382" s="73">
        <f t="shared" si="256"/>
        <v>186.40740690052502</v>
      </c>
      <c r="N382" s="72">
        <f t="shared" si="256"/>
        <v>191.99962910754127</v>
      </c>
      <c r="O382" s="72">
        <f t="shared" si="256"/>
        <v>197.75961798076764</v>
      </c>
      <c r="P382" s="72">
        <f t="shared" si="256"/>
        <v>203.69240652019178</v>
      </c>
      <c r="Q382" s="72">
        <f t="shared" si="256"/>
        <v>209.80317871579754</v>
      </c>
      <c r="R382" s="66"/>
      <c r="S382" s="66"/>
      <c r="T382" s="66"/>
      <c r="U382" s="66"/>
      <c r="V382" s="66"/>
      <c r="W382" s="66"/>
    </row>
    <row r="383" spans="1:23" s="7" customFormat="1" ht="12" customHeight="1">
      <c r="A383" s="65"/>
      <c r="B383" s="66"/>
      <c r="C383" s="66"/>
      <c r="D383" s="113"/>
      <c r="E383" s="74"/>
      <c r="F383" s="74"/>
      <c r="G383" s="75"/>
      <c r="H383" s="74"/>
      <c r="I383" s="74"/>
      <c r="J383" s="74"/>
      <c r="K383" s="74"/>
      <c r="L383" s="74"/>
      <c r="M383" s="75"/>
      <c r="N383" s="74"/>
      <c r="O383" s="74"/>
      <c r="P383" s="74"/>
      <c r="Q383" s="74"/>
      <c r="R383" s="66"/>
      <c r="S383" s="66"/>
      <c r="T383" s="66"/>
      <c r="U383" s="66"/>
      <c r="V383" s="66"/>
      <c r="W383" s="66"/>
    </row>
    <row r="384" spans="1:17" ht="12.75" customHeight="1">
      <c r="A384" s="20">
        <v>42</v>
      </c>
      <c r="C384" s="26" t="s">
        <v>137</v>
      </c>
      <c r="D384" s="83">
        <f aca="true" t="shared" si="257" ref="D384:P384">D151</f>
        <v>452.6606740080724</v>
      </c>
      <c r="E384" s="83">
        <f t="shared" si="257"/>
        <v>466.4001346687989</v>
      </c>
      <c r="F384" s="83">
        <f t="shared" si="257"/>
        <v>481.376146788991</v>
      </c>
      <c r="G384" s="36">
        <f t="shared" si="257"/>
        <v>495.00000000000017</v>
      </c>
      <c r="H384" s="83">
        <f t="shared" si="257"/>
        <v>509.8500000000002</v>
      </c>
      <c r="I384" s="83">
        <f t="shared" si="257"/>
        <v>525.1455000000002</v>
      </c>
      <c r="J384" s="83">
        <f t="shared" si="257"/>
        <v>540.8998650000003</v>
      </c>
      <c r="K384" s="83">
        <f t="shared" si="257"/>
        <v>557.1268609500003</v>
      </c>
      <c r="L384" s="83">
        <f t="shared" si="257"/>
        <v>573.8406667785005</v>
      </c>
      <c r="M384" s="36">
        <f t="shared" si="257"/>
        <v>591.0558867818555</v>
      </c>
      <c r="N384" s="83">
        <f t="shared" si="257"/>
        <v>608.7875633853113</v>
      </c>
      <c r="O384" s="83">
        <f t="shared" si="257"/>
        <v>627.0511902868706</v>
      </c>
      <c r="P384" s="83">
        <f t="shared" si="257"/>
        <v>645.8627259954767</v>
      </c>
      <c r="Q384" s="83"/>
    </row>
    <row r="385" spans="1:17" ht="12.75" customHeight="1">
      <c r="A385" s="20"/>
      <c r="C385" s="26" t="s">
        <v>200</v>
      </c>
      <c r="D385" s="83">
        <f>D153-D395</f>
        <v>318.5389928204952</v>
      </c>
      <c r="E385" s="83">
        <f aca="true" t="shared" si="258" ref="E385:P385">E153-E395</f>
        <v>328.2075021743399</v>
      </c>
      <c r="F385" s="83">
        <f t="shared" si="258"/>
        <v>338.74617737003064</v>
      </c>
      <c r="G385" s="36">
        <f t="shared" si="258"/>
        <v>348.3333333333337</v>
      </c>
      <c r="H385" s="83">
        <f t="shared" si="258"/>
        <v>358.78333333333353</v>
      </c>
      <c r="I385" s="83">
        <f t="shared" si="258"/>
        <v>369.5468333333338</v>
      </c>
      <c r="J385" s="83">
        <f t="shared" si="258"/>
        <v>380.63323833333357</v>
      </c>
      <c r="K385" s="83">
        <f t="shared" si="258"/>
        <v>392.0522354833338</v>
      </c>
      <c r="L385" s="83">
        <f t="shared" si="258"/>
        <v>403.8138025478354</v>
      </c>
      <c r="M385" s="36">
        <f t="shared" si="258"/>
        <v>415.9282166242699</v>
      </c>
      <c r="N385" s="83">
        <f t="shared" si="258"/>
        <v>428.40606312299883</v>
      </c>
      <c r="O385" s="83">
        <f t="shared" si="258"/>
        <v>441.25824501668785</v>
      </c>
      <c r="P385" s="83">
        <f t="shared" si="258"/>
        <v>454.49599236718836</v>
      </c>
      <c r="Q385" s="83"/>
    </row>
    <row r="386" spans="1:17" ht="12.75" customHeight="1">
      <c r="A386" s="20"/>
      <c r="C386" s="26" t="s">
        <v>320</v>
      </c>
      <c r="D386" s="83">
        <f aca="true" t="shared" si="259" ref="D386:I386">D384-D385</f>
        <v>134.12168118757722</v>
      </c>
      <c r="E386" s="83">
        <f t="shared" si="259"/>
        <v>138.19263249445902</v>
      </c>
      <c r="F386" s="83">
        <f t="shared" si="259"/>
        <v>142.62996941896034</v>
      </c>
      <c r="G386" s="83">
        <f t="shared" si="259"/>
        <v>146.66666666666646</v>
      </c>
      <c r="H386" s="83">
        <f t="shared" si="259"/>
        <v>151.06666666666666</v>
      </c>
      <c r="I386" s="83">
        <f t="shared" si="259"/>
        <v>155.59866666666642</v>
      </c>
      <c r="J386" s="83"/>
      <c r="K386" s="83"/>
      <c r="L386" s="83"/>
      <c r="M386" s="36"/>
      <c r="N386" s="83"/>
      <c r="O386" s="83"/>
      <c r="P386" s="83"/>
      <c r="Q386" s="83"/>
    </row>
    <row r="387" spans="1:17" ht="12" customHeight="1">
      <c r="A387" s="20">
        <v>43</v>
      </c>
      <c r="C387" s="26" t="s">
        <v>201</v>
      </c>
      <c r="D387" s="1">
        <f>D384-D385+D137</f>
        <v>2025.089132295678</v>
      </c>
      <c r="E387" s="1">
        <f aca="true" t="shared" si="260" ref="E387:P387">E384-E385+E137</f>
        <v>2089.347154202289</v>
      </c>
      <c r="F387" s="1">
        <f t="shared" si="260"/>
        <v>2429.388398080495</v>
      </c>
      <c r="G387" s="36">
        <f t="shared" si="260"/>
        <v>2497.03335390774</v>
      </c>
      <c r="H387" s="1">
        <f t="shared" si="260"/>
        <v>2571.7363557594363</v>
      </c>
      <c r="I387" s="1">
        <f t="shared" si="260"/>
        <v>2648.6547277777863</v>
      </c>
      <c r="J387" s="1">
        <f t="shared" si="260"/>
        <v>2728.114369611121</v>
      </c>
      <c r="K387" s="1">
        <f t="shared" si="260"/>
        <v>2809.957800699455</v>
      </c>
      <c r="L387" s="1">
        <f t="shared" si="260"/>
        <v>2894.256534720439</v>
      </c>
      <c r="M387" s="36">
        <f t="shared" si="260"/>
        <v>2981.084230762054</v>
      </c>
      <c r="N387" s="1">
        <f t="shared" si="260"/>
        <v>3070.5167576849162</v>
      </c>
      <c r="O387" s="1">
        <f t="shared" si="260"/>
        <v>3162.6322604154657</v>
      </c>
      <c r="P387" s="1">
        <f t="shared" si="260"/>
        <v>3257.51122822793</v>
      </c>
      <c r="Q387" s="1"/>
    </row>
    <row r="388" spans="1:23" s="78" customFormat="1" ht="12" customHeight="1" thickBot="1">
      <c r="A388" s="77">
        <v>44</v>
      </c>
      <c r="B388" s="78" t="s">
        <v>138</v>
      </c>
      <c r="C388" s="91" t="s">
        <v>202</v>
      </c>
      <c r="D388" s="144">
        <f>D387-D144</f>
        <v>1025.0891322956772</v>
      </c>
      <c r="E388" s="144">
        <f aca="true" t="shared" si="261" ref="E388:P388">E387-E144</f>
        <v>1089.347154202288</v>
      </c>
      <c r="F388" s="144">
        <f t="shared" si="261"/>
        <v>1329.388398080494</v>
      </c>
      <c r="G388" s="145">
        <f t="shared" si="261"/>
        <v>1397.033353907739</v>
      </c>
      <c r="H388" s="144">
        <f t="shared" si="261"/>
        <v>1438.7363557594351</v>
      </c>
      <c r="I388" s="144">
        <f t="shared" si="261"/>
        <v>1481.664727777785</v>
      </c>
      <c r="J388" s="144">
        <f t="shared" si="261"/>
        <v>1526.1146696111196</v>
      </c>
      <c r="K388" s="144">
        <f t="shared" si="261"/>
        <v>1571.8981096994535</v>
      </c>
      <c r="L388" s="144">
        <f t="shared" si="261"/>
        <v>1619.0550529904372</v>
      </c>
      <c r="M388" s="145">
        <f t="shared" si="261"/>
        <v>1667.6267045801521</v>
      </c>
      <c r="N388" s="144">
        <f t="shared" si="261"/>
        <v>1717.6555057175567</v>
      </c>
      <c r="O388" s="144">
        <f t="shared" si="261"/>
        <v>1769.1851708890852</v>
      </c>
      <c r="P388" s="144">
        <f t="shared" si="261"/>
        <v>1822.260726015758</v>
      </c>
      <c r="Q388" s="93"/>
      <c r="R388" s="82"/>
      <c r="S388" s="82"/>
      <c r="T388" s="82"/>
      <c r="U388" s="82"/>
      <c r="V388" s="82"/>
      <c r="W388" s="82"/>
    </row>
    <row r="389" spans="1:23" s="7" customFormat="1" ht="12" customHeight="1">
      <c r="A389" s="65"/>
      <c r="B389" s="66"/>
      <c r="C389" s="66"/>
      <c r="D389" s="113"/>
      <c r="E389" s="113"/>
      <c r="F389" s="113"/>
      <c r="G389" s="38"/>
      <c r="H389" s="113"/>
      <c r="I389" s="113"/>
      <c r="J389" s="113"/>
      <c r="K389" s="113"/>
      <c r="L389" s="113"/>
      <c r="M389" s="38"/>
      <c r="N389" s="113"/>
      <c r="O389" s="113"/>
      <c r="P389" s="113"/>
      <c r="Q389" s="74"/>
      <c r="R389" s="66"/>
      <c r="S389" s="66"/>
      <c r="T389" s="66"/>
      <c r="U389" s="66"/>
      <c r="V389" s="66"/>
      <c r="W389" s="66"/>
    </row>
    <row r="390" spans="1:17" ht="12.75" customHeight="1">
      <c r="A390" s="20">
        <v>47</v>
      </c>
      <c r="C390" s="7" t="s">
        <v>203</v>
      </c>
      <c r="D390" s="14">
        <f aca="true" t="shared" si="262" ref="D390:O390">D130*(D144+D396)/D396</f>
        <v>1.9755249260720482</v>
      </c>
      <c r="E390" s="14">
        <f t="shared" si="262"/>
        <v>1.9179810092149048</v>
      </c>
      <c r="F390" s="14">
        <f t="shared" si="262"/>
        <v>1.8274481720980056</v>
      </c>
      <c r="G390" s="119">
        <f t="shared" si="262"/>
        <v>1.7873827757391154</v>
      </c>
      <c r="H390" s="14">
        <f t="shared" si="262"/>
        <v>1.787496608023051</v>
      </c>
      <c r="I390" s="14">
        <f t="shared" si="262"/>
        <v>1.787620828195232</v>
      </c>
      <c r="J390" s="14">
        <f t="shared" si="262"/>
        <v>1.7876208281952317</v>
      </c>
      <c r="K390" s="14">
        <f t="shared" si="262"/>
        <v>1.7876208281952313</v>
      </c>
      <c r="L390" s="14">
        <f t="shared" si="262"/>
        <v>1.7876208281952313</v>
      </c>
      <c r="M390" s="119">
        <f t="shared" si="262"/>
        <v>1.787620828195231</v>
      </c>
      <c r="N390" s="14">
        <f t="shared" si="262"/>
        <v>1.7876208281952308</v>
      </c>
      <c r="O390" s="14">
        <f t="shared" si="262"/>
        <v>1.7876208281952306</v>
      </c>
      <c r="P390" s="14">
        <f>P130*(P144+P396)/P396</f>
        <v>1.7876208281952306</v>
      </c>
      <c r="Q390" s="14"/>
    </row>
    <row r="391" spans="1:23" s="7" customFormat="1" ht="10.5" customHeight="1">
      <c r="A391" s="20">
        <v>48</v>
      </c>
      <c r="C391" s="7" t="s">
        <v>204</v>
      </c>
      <c r="D391" s="60">
        <f>D131+D132*D390</f>
        <v>0.12902099704288195</v>
      </c>
      <c r="E391" s="60">
        <f aca="true" t="shared" si="263" ref="E391:P391">E131+E132*E390</f>
        <v>0.1267192403685962</v>
      </c>
      <c r="F391" s="60">
        <f t="shared" si="263"/>
        <v>0.12309792688392023</v>
      </c>
      <c r="G391" s="59">
        <f t="shared" si="263"/>
        <v>0.12149531102956462</v>
      </c>
      <c r="H391" s="60">
        <f t="shared" si="263"/>
        <v>0.12149986432092204</v>
      </c>
      <c r="I391" s="60">
        <f t="shared" si="263"/>
        <v>0.12150483312780928</v>
      </c>
      <c r="J391" s="60">
        <f t="shared" si="263"/>
        <v>0.12150483312780927</v>
      </c>
      <c r="K391" s="60">
        <f t="shared" si="263"/>
        <v>0.12150483312780926</v>
      </c>
      <c r="L391" s="60">
        <f t="shared" si="263"/>
        <v>0.12150483312780926</v>
      </c>
      <c r="M391" s="59">
        <f t="shared" si="263"/>
        <v>0.12150483312780924</v>
      </c>
      <c r="N391" s="60">
        <f t="shared" si="263"/>
        <v>0.12150483312780924</v>
      </c>
      <c r="O391" s="60">
        <f t="shared" si="263"/>
        <v>0.12150483312780923</v>
      </c>
      <c r="P391" s="60">
        <f t="shared" si="263"/>
        <v>0.12150483312780923</v>
      </c>
      <c r="Q391" s="60">
        <f>P391</f>
        <v>0.12150483312780923</v>
      </c>
      <c r="R391" s="66"/>
      <c r="S391" s="66"/>
      <c r="T391" s="66"/>
      <c r="U391" s="66"/>
      <c r="V391" s="66"/>
      <c r="W391" s="66"/>
    </row>
    <row r="392" spans="1:17" ht="10.5" customHeight="1" hidden="1">
      <c r="A392" s="20"/>
      <c r="C392" s="26" t="s">
        <v>143</v>
      </c>
      <c r="D392" s="14">
        <v>1</v>
      </c>
      <c r="E392" s="14">
        <f>1/(1+D391)</f>
        <v>0.8857231199589626</v>
      </c>
      <c r="F392" s="55">
        <f aca="true" t="shared" si="264" ref="F392:Q392">E392/(1+E391)</f>
        <v>0.7861080988278909</v>
      </c>
      <c r="G392" s="117">
        <f t="shared" si="264"/>
        <v>0.6999461756723022</v>
      </c>
      <c r="H392" s="55">
        <f t="shared" si="264"/>
        <v>0.624118682252654</v>
      </c>
      <c r="I392" s="55">
        <f t="shared" si="264"/>
        <v>0.5565035735698134</v>
      </c>
      <c r="J392" s="55">
        <f t="shared" si="264"/>
        <v>0.49621148044253943</v>
      </c>
      <c r="K392" s="55">
        <f t="shared" si="264"/>
        <v>0.44245148641815085</v>
      </c>
      <c r="L392" s="55">
        <f t="shared" si="264"/>
        <v>0.3945158980583083</v>
      </c>
      <c r="M392" s="117">
        <f t="shared" si="264"/>
        <v>0.35177369406249215</v>
      </c>
      <c r="N392" s="55">
        <f t="shared" si="264"/>
        <v>0.3136622185402595</v>
      </c>
      <c r="O392" s="55">
        <f t="shared" si="264"/>
        <v>0.2796797742417877</v>
      </c>
      <c r="P392" s="55">
        <f t="shared" si="264"/>
        <v>0.24937901824442227</v>
      </c>
      <c r="Q392" s="55">
        <f t="shared" si="264"/>
        <v>0.2223610731564297</v>
      </c>
    </row>
    <row r="393" spans="1:17" ht="10.5" customHeight="1" hidden="1">
      <c r="A393" s="20"/>
      <c r="B393" s="51"/>
      <c r="C393" s="51" t="s">
        <v>81</v>
      </c>
      <c r="D393" s="51"/>
      <c r="E393" s="28">
        <f aca="true" t="shared" si="265" ref="E393:P393">E379</f>
        <v>68</v>
      </c>
      <c r="F393" s="28">
        <f t="shared" si="265"/>
        <v>-102</v>
      </c>
      <c r="G393" s="122">
        <f t="shared" si="265"/>
        <v>96</v>
      </c>
      <c r="H393" s="28">
        <f t="shared" si="265"/>
        <v>128.03000000000003</v>
      </c>
      <c r="I393" s="28">
        <f t="shared" si="265"/>
        <v>131.87789999999967</v>
      </c>
      <c r="J393" s="28">
        <f t="shared" si="265"/>
        <v>135.57948366666653</v>
      </c>
      <c r="K393" s="28">
        <f t="shared" si="265"/>
        <v>139.64686817666637</v>
      </c>
      <c r="L393" s="28">
        <f t="shared" si="265"/>
        <v>143.83627422196707</v>
      </c>
      <c r="M393" s="122">
        <f t="shared" si="265"/>
        <v>148.15136244862515</v>
      </c>
      <c r="N393" s="28">
        <f t="shared" si="265"/>
        <v>152.59590332208427</v>
      </c>
      <c r="O393" s="28">
        <f t="shared" si="265"/>
        <v>157.17378042174698</v>
      </c>
      <c r="P393" s="28">
        <f t="shared" si="265"/>
        <v>161.88899383440037</v>
      </c>
      <c r="Q393" s="1">
        <f>P393*(1+O$8)+P393*(1+O$8)*(1+O$8)/(P391-O$8)</f>
        <v>2043.6742114456626</v>
      </c>
    </row>
    <row r="394" spans="1:17" ht="10.5" customHeight="1" hidden="1">
      <c r="A394" s="20"/>
      <c r="C394" s="26" t="s">
        <v>144</v>
      </c>
      <c r="D394" s="1"/>
      <c r="E394" s="1">
        <f>E393*E392</f>
        <v>60.229172157209454</v>
      </c>
      <c r="F394" s="1">
        <f aca="true" t="shared" si="266" ref="F394:P394">F393*F392</f>
        <v>-80.18302608044488</v>
      </c>
      <c r="G394" s="36">
        <f t="shared" si="266"/>
        <v>67.19483286454101</v>
      </c>
      <c r="H394" s="1">
        <f t="shared" si="266"/>
        <v>79.9059148888073</v>
      </c>
      <c r="I394" s="1">
        <f t="shared" si="266"/>
        <v>73.39052262488231</v>
      </c>
      <c r="J394" s="1">
        <f t="shared" si="266"/>
        <v>67.2760963078717</v>
      </c>
      <c r="K394" s="1">
        <f t="shared" si="266"/>
        <v>61.7869643984056</v>
      </c>
      <c r="L394" s="1">
        <f t="shared" si="266"/>
        <v>56.745696898040435</v>
      </c>
      <c r="M394" s="36">
        <f t="shared" si="266"/>
        <v>52.11575204894405</v>
      </c>
      <c r="N394" s="1">
        <f t="shared" si="266"/>
        <v>47.863569576159904</v>
      </c>
      <c r="O394" s="1">
        <f t="shared" si="266"/>
        <v>43.95832742508251</v>
      </c>
      <c r="P394" s="1">
        <f t="shared" si="266"/>
        <v>40.37171834700009</v>
      </c>
      <c r="Q394" s="1">
        <f>Q393*Q392</f>
        <v>454.4335908391778</v>
      </c>
    </row>
    <row r="395" spans="1:20" s="78" customFormat="1" ht="10.5" customHeight="1" thickBot="1">
      <c r="A395" s="77">
        <v>49</v>
      </c>
      <c r="C395" s="79" t="s">
        <v>205</v>
      </c>
      <c r="D395" s="93">
        <f>SUM(E394:$Q394)/D392</f>
        <v>1025.0891322956772</v>
      </c>
      <c r="E395" s="93">
        <f>SUM(F394:$Q394)/E392</f>
        <v>1089.347154202288</v>
      </c>
      <c r="F395" s="93">
        <f>SUM(G394:$Q394)/F392</f>
        <v>1329.388398080494</v>
      </c>
      <c r="G395" s="116">
        <f>SUM(H394:$Q394)/G392</f>
        <v>1397.0333539077387</v>
      </c>
      <c r="H395" s="93">
        <f>SUM(I394:$Q394)/H392</f>
        <v>1438.7363557594354</v>
      </c>
      <c r="I395" s="93">
        <f>SUM(J394:$Q394)/I392</f>
        <v>1481.664727777785</v>
      </c>
      <c r="J395" s="93">
        <f>SUM(K394:$Q394)/J392</f>
        <v>1526.1146696111193</v>
      </c>
      <c r="K395" s="93">
        <f>SUM(L394:$Q394)/K392</f>
        <v>1571.8981096994535</v>
      </c>
      <c r="L395" s="93">
        <f>SUM(M394:$Q394)/L392</f>
        <v>1619.0550529904374</v>
      </c>
      <c r="M395" s="116">
        <f>SUM(N394:$Q394)/M392</f>
        <v>1667.6267045801517</v>
      </c>
      <c r="N395" s="93">
        <f>SUM(O394:$Q394)/N392</f>
        <v>1717.6555057175572</v>
      </c>
      <c r="O395" s="93">
        <f>SUM(P394:$Q394)/O392</f>
        <v>1769.185170889085</v>
      </c>
      <c r="P395" s="93">
        <f>SUM(Q394:$Q394)/P392</f>
        <v>1822.2607260157577</v>
      </c>
      <c r="Q395" s="93"/>
      <c r="R395" s="82"/>
      <c r="S395" s="82"/>
      <c r="T395" s="82"/>
    </row>
    <row r="396" spans="1:17" ht="12.75" customHeight="1">
      <c r="A396" s="20">
        <v>50</v>
      </c>
      <c r="C396" s="106" t="s">
        <v>206</v>
      </c>
      <c r="D396" s="81">
        <f>D395</f>
        <v>1025.0891322956772</v>
      </c>
      <c r="E396" s="81">
        <f aca="true" t="shared" si="267" ref="E396:P396">D396*(1+D391)-E379</f>
        <v>1089.3471542022883</v>
      </c>
      <c r="F396" s="81">
        <f t="shared" si="267"/>
        <v>1329.3883980804942</v>
      </c>
      <c r="G396" s="121">
        <f t="shared" si="267"/>
        <v>1397.0333539077387</v>
      </c>
      <c r="H396" s="81">
        <f t="shared" si="267"/>
        <v>1438.7363557594354</v>
      </c>
      <c r="I396" s="81">
        <f t="shared" si="267"/>
        <v>1481.6647277777847</v>
      </c>
      <c r="J396" s="81">
        <f t="shared" si="267"/>
        <v>1526.1146696111186</v>
      </c>
      <c r="K396" s="81">
        <f t="shared" si="267"/>
        <v>1571.898109699453</v>
      </c>
      <c r="L396" s="81">
        <f t="shared" si="267"/>
        <v>1619.0550529904367</v>
      </c>
      <c r="M396" s="121">
        <f t="shared" si="267"/>
        <v>1667.626704580151</v>
      </c>
      <c r="N396" s="81">
        <f t="shared" si="267"/>
        <v>1717.6555057175565</v>
      </c>
      <c r="O396" s="81">
        <f t="shared" si="267"/>
        <v>1769.185170889084</v>
      </c>
      <c r="P396" s="81">
        <f t="shared" si="267"/>
        <v>1822.2607260157565</v>
      </c>
      <c r="Q396" s="81"/>
    </row>
    <row r="397" spans="1:13" ht="12.75" customHeight="1">
      <c r="A397" s="20"/>
      <c r="D397" s="50"/>
      <c r="E397" s="5"/>
      <c r="M397" s="38"/>
    </row>
    <row r="398" spans="1:23" s="7" customFormat="1" ht="12" customHeight="1">
      <c r="A398" s="20">
        <v>51</v>
      </c>
      <c r="C398" s="7" t="s">
        <v>207</v>
      </c>
      <c r="D398" s="58">
        <f>(D396*D391+D144*D146-D145*D140*$F$1)/(D396+D144)</f>
        <v>0.08604955659856263</v>
      </c>
      <c r="E398" s="58">
        <f aca="true" t="shared" si="268" ref="E398:P398">(E396*E391+E144*E146-E145*E140*$F$1)/(E396+E144)</f>
        <v>0.08617105276932574</v>
      </c>
      <c r="F398" s="58">
        <f t="shared" si="268"/>
        <v>0.0863776891307487</v>
      </c>
      <c r="G398" s="170">
        <f t="shared" si="268"/>
        <v>0.08647581799969614</v>
      </c>
      <c r="H398" s="58">
        <f t="shared" si="268"/>
        <v>0.08647553296833828</v>
      </c>
      <c r="I398" s="58">
        <f t="shared" si="268"/>
        <v>0.08647522196755604</v>
      </c>
      <c r="J398" s="58">
        <f t="shared" si="268"/>
        <v>0.08647522196755604</v>
      </c>
      <c r="K398" s="58">
        <f t="shared" si="268"/>
        <v>0.08647522196755603</v>
      </c>
      <c r="L398" s="58">
        <f t="shared" si="268"/>
        <v>0.08647522196755605</v>
      </c>
      <c r="M398" s="170">
        <f t="shared" si="268"/>
        <v>0.08647522196755604</v>
      </c>
      <c r="N398" s="58">
        <f t="shared" si="268"/>
        <v>0.08647522196755605</v>
      </c>
      <c r="O398" s="58">
        <f t="shared" si="268"/>
        <v>0.08647522196755604</v>
      </c>
      <c r="P398" s="58">
        <f t="shared" si="268"/>
        <v>0.08647522196755605</v>
      </c>
      <c r="Q398" s="58">
        <f>P398</f>
        <v>0.08647522196755605</v>
      </c>
      <c r="R398" s="66"/>
      <c r="S398" s="66"/>
      <c r="T398" s="66"/>
      <c r="U398" s="66"/>
      <c r="V398" s="66"/>
      <c r="W398" s="66"/>
    </row>
    <row r="399" spans="1:17" ht="12" customHeight="1" hidden="1">
      <c r="A399" s="20"/>
      <c r="C399" s="26" t="s">
        <v>147</v>
      </c>
      <c r="D399" s="14">
        <v>1</v>
      </c>
      <c r="E399" s="14">
        <f>1/(1+D398)</f>
        <v>0.9207682963675577</v>
      </c>
      <c r="F399" s="14">
        <f aca="true" t="shared" si="269" ref="F399:Q399">E399/(1+E398)</f>
        <v>0.8477194213746965</v>
      </c>
      <c r="G399" s="119">
        <f t="shared" si="269"/>
        <v>0.7803174069719606</v>
      </c>
      <c r="H399" s="14">
        <f t="shared" si="269"/>
        <v>0.7182096407894271</v>
      </c>
      <c r="I399" s="14">
        <f t="shared" si="269"/>
        <v>0.6610453885024182</v>
      </c>
      <c r="J399" s="14">
        <f t="shared" si="269"/>
        <v>0.6084311681819083</v>
      </c>
      <c r="K399" s="14">
        <f t="shared" si="269"/>
        <v>0.5600046424253172</v>
      </c>
      <c r="L399" s="14">
        <f t="shared" si="269"/>
        <v>0.5154325023732939</v>
      </c>
      <c r="M399" s="119">
        <f t="shared" si="269"/>
        <v>0.47440796803434654</v>
      </c>
      <c r="N399" s="14">
        <f t="shared" si="269"/>
        <v>0.43664867678732316</v>
      </c>
      <c r="O399" s="14">
        <f t="shared" si="269"/>
        <v>0.4018947399431464</v>
      </c>
      <c r="P399" s="14">
        <f t="shared" si="269"/>
        <v>0.3699069539895569</v>
      </c>
      <c r="Q399" s="14">
        <f t="shared" si="269"/>
        <v>0.3404651542072655</v>
      </c>
    </row>
    <row r="400" spans="1:17" ht="12" customHeight="1" hidden="1">
      <c r="A400" s="54"/>
      <c r="B400" s="51"/>
      <c r="C400" s="51" t="s">
        <v>82</v>
      </c>
      <c r="D400" s="51"/>
      <c r="E400" s="28">
        <f aca="true" t="shared" si="270" ref="E400:P400">E380</f>
        <v>110</v>
      </c>
      <c r="F400" s="28">
        <f t="shared" si="270"/>
        <v>-160</v>
      </c>
      <c r="G400" s="122">
        <f t="shared" si="270"/>
        <v>142.2</v>
      </c>
      <c r="H400" s="28">
        <f t="shared" si="270"/>
        <v>141.23000000000002</v>
      </c>
      <c r="I400" s="28">
        <f t="shared" si="270"/>
        <v>145.47389999999967</v>
      </c>
      <c r="J400" s="28">
        <f t="shared" si="270"/>
        <v>149.58336366666646</v>
      </c>
      <c r="K400" s="28">
        <f t="shared" si="270"/>
        <v>154.07086457666628</v>
      </c>
      <c r="L400" s="28">
        <f t="shared" si="270"/>
        <v>158.69299051396695</v>
      </c>
      <c r="M400" s="122">
        <f t="shared" si="270"/>
        <v>163.45378022938502</v>
      </c>
      <c r="N400" s="28">
        <f t="shared" si="270"/>
        <v>168.35739363626706</v>
      </c>
      <c r="O400" s="28">
        <f t="shared" si="270"/>
        <v>173.40811544535524</v>
      </c>
      <c r="P400" s="28">
        <f t="shared" si="270"/>
        <v>178.61035890871696</v>
      </c>
      <c r="Q400" s="1">
        <f>P400*(1+O$8)+P400*(1+O$8)*(1+O$8)/(P398-O$8)</f>
        <v>3539.2052347507465</v>
      </c>
    </row>
    <row r="401" spans="1:17" ht="12" customHeight="1" hidden="1">
      <c r="A401" s="20"/>
      <c r="C401" s="26" t="s">
        <v>127</v>
      </c>
      <c r="D401" s="1"/>
      <c r="E401" s="1">
        <f aca="true" t="shared" si="271" ref="E401:Q401">E400*E399</f>
        <v>101.28451260043136</v>
      </c>
      <c r="F401" s="1">
        <f t="shared" si="271"/>
        <v>-135.63510741995142</v>
      </c>
      <c r="G401" s="36">
        <f t="shared" si="271"/>
        <v>110.96113527141279</v>
      </c>
      <c r="H401" s="1">
        <f t="shared" si="271"/>
        <v>101.4327475686908</v>
      </c>
      <c r="I401" s="1">
        <f t="shared" si="271"/>
        <v>96.16485074246172</v>
      </c>
      <c r="J401" s="1">
        <f t="shared" si="271"/>
        <v>91.0111806962891</v>
      </c>
      <c r="K401" s="1">
        <f t="shared" si="271"/>
        <v>86.28039942541548</v>
      </c>
      <c r="L401" s="1">
        <f t="shared" si="271"/>
        <v>81.79552520971536</v>
      </c>
      <c r="M401" s="36">
        <f t="shared" si="271"/>
        <v>77.54377574615519</v>
      </c>
      <c r="N401" s="1">
        <f t="shared" si="271"/>
        <v>73.51303315863852</v>
      </c>
      <c r="O401" s="1">
        <f t="shared" si="271"/>
        <v>69.69180946094215</v>
      </c>
      <c r="P401" s="1">
        <f t="shared" si="271"/>
        <v>66.06921381490501</v>
      </c>
      <c r="Q401" s="1">
        <f t="shared" si="271"/>
        <v>1204.976056020574</v>
      </c>
    </row>
    <row r="402" spans="1:17" ht="12" customHeight="1">
      <c r="A402" s="20">
        <v>52</v>
      </c>
      <c r="B402" s="4" t="s">
        <v>208</v>
      </c>
      <c r="C402" s="51" t="s">
        <v>209</v>
      </c>
      <c r="D402" s="22">
        <f>SUM(E401:$Q401)/D399</f>
        <v>2025.0891322956804</v>
      </c>
      <c r="E402" s="22">
        <f>SUM(F401:$Q401)/E399</f>
        <v>2089.347154202291</v>
      </c>
      <c r="F402" s="22">
        <f>SUM(G401:$Q401)/F399</f>
        <v>2429.3883980804976</v>
      </c>
      <c r="G402" s="111">
        <f>SUM(H401:$Q401)/G399</f>
        <v>2497.0333539077424</v>
      </c>
      <c r="H402" s="22">
        <f>SUM(I401:$Q401)/H399</f>
        <v>2571.7363557594385</v>
      </c>
      <c r="I402" s="22">
        <f>SUM(J401:$Q401)/I399</f>
        <v>2648.654727777788</v>
      </c>
      <c r="J402" s="22">
        <f>SUM(K401:$Q401)/J399</f>
        <v>2728.1143696111226</v>
      </c>
      <c r="K402" s="22">
        <f>SUM(L401:$Q401)/K399</f>
        <v>2809.957800699457</v>
      </c>
      <c r="L402" s="22">
        <f>SUM(M401:$Q401)/L399</f>
        <v>2894.256534720441</v>
      </c>
      <c r="M402" s="111">
        <f>SUM(N401:$Q401)/M399</f>
        <v>2981.084230762056</v>
      </c>
      <c r="N402" s="22">
        <f>SUM(O401:$Q401)/N399</f>
        <v>3070.5167576849176</v>
      </c>
      <c r="O402" s="22">
        <f>SUM(P401:$Q401)/O399</f>
        <v>3162.632260415466</v>
      </c>
      <c r="P402" s="22">
        <f>SUM(Q401:$Q401)/P399</f>
        <v>3257.5112282279306</v>
      </c>
      <c r="Q402" s="22"/>
    </row>
    <row r="403" spans="1:20" s="78" customFormat="1" ht="12.75" customHeight="1" thickBot="1">
      <c r="A403" s="77">
        <v>53</v>
      </c>
      <c r="B403" s="78" t="s">
        <v>138</v>
      </c>
      <c r="C403" s="91" t="s">
        <v>210</v>
      </c>
      <c r="D403" s="93">
        <f>D402-D144</f>
        <v>1025.0891322956797</v>
      </c>
      <c r="E403" s="93">
        <f aca="true" t="shared" si="272" ref="E403:P403">E402-E144</f>
        <v>1089.3471542022903</v>
      </c>
      <c r="F403" s="93">
        <f t="shared" si="272"/>
        <v>1329.3883980804967</v>
      </c>
      <c r="G403" s="116">
        <f t="shared" si="272"/>
        <v>1397.0333539077412</v>
      </c>
      <c r="H403" s="93">
        <f t="shared" si="272"/>
        <v>1438.7363557594374</v>
      </c>
      <c r="I403" s="93">
        <f t="shared" si="272"/>
        <v>1481.6647277777868</v>
      </c>
      <c r="J403" s="93">
        <f t="shared" si="272"/>
        <v>1526.114669611121</v>
      </c>
      <c r="K403" s="93">
        <f t="shared" si="272"/>
        <v>1571.8981096994553</v>
      </c>
      <c r="L403" s="93">
        <f t="shared" si="272"/>
        <v>1619.055052990439</v>
      </c>
      <c r="M403" s="116">
        <f t="shared" si="272"/>
        <v>1667.626704580154</v>
      </c>
      <c r="N403" s="93">
        <f t="shared" si="272"/>
        <v>1717.655505717558</v>
      </c>
      <c r="O403" s="93">
        <f t="shared" si="272"/>
        <v>1769.1851708890856</v>
      </c>
      <c r="P403" s="93">
        <f t="shared" si="272"/>
        <v>1822.2607260157586</v>
      </c>
      <c r="Q403" s="133"/>
      <c r="R403" s="82"/>
      <c r="S403" s="82"/>
      <c r="T403" s="82"/>
    </row>
    <row r="404" spans="1:17" ht="12.75" customHeight="1">
      <c r="A404" s="20">
        <v>54</v>
      </c>
      <c r="C404" s="85" t="s">
        <v>151</v>
      </c>
      <c r="D404" s="83">
        <f>D402</f>
        <v>2025.0891322956804</v>
      </c>
      <c r="E404" s="83">
        <f aca="true" t="shared" si="273" ref="E404:P404">D404*(1+D398)-E380</f>
        <v>2089.3471542022917</v>
      </c>
      <c r="F404" s="83">
        <f t="shared" si="273"/>
        <v>2429.388398080498</v>
      </c>
      <c r="G404" s="36">
        <f t="shared" si="273"/>
        <v>2497.033353907743</v>
      </c>
      <c r="H404" s="83">
        <f t="shared" si="273"/>
        <v>2571.7363557594394</v>
      </c>
      <c r="I404" s="83">
        <f t="shared" si="273"/>
        <v>2648.6547277777895</v>
      </c>
      <c r="J404" s="83">
        <f t="shared" si="273"/>
        <v>2728.114369611124</v>
      </c>
      <c r="K404" s="83">
        <f t="shared" si="273"/>
        <v>2809.957800699459</v>
      </c>
      <c r="L404" s="83">
        <f t="shared" si="273"/>
        <v>2894.256534720443</v>
      </c>
      <c r="M404" s="36">
        <f t="shared" si="273"/>
        <v>2981.084230762058</v>
      </c>
      <c r="N404" s="83">
        <f t="shared" si="273"/>
        <v>3070.5167576849203</v>
      </c>
      <c r="O404" s="83">
        <f t="shared" si="273"/>
        <v>3162.632260415469</v>
      </c>
      <c r="P404" s="83">
        <f t="shared" si="273"/>
        <v>3257.511228227933</v>
      </c>
      <c r="Q404" s="105"/>
    </row>
    <row r="405" spans="1:17" ht="12.75" customHeight="1">
      <c r="A405" s="20"/>
      <c r="C405" s="6"/>
      <c r="D405" s="6"/>
      <c r="E405" s="53"/>
      <c r="F405" s="53"/>
      <c r="G405" s="37"/>
      <c r="H405" s="53"/>
      <c r="I405" s="53"/>
      <c r="J405" s="53"/>
      <c r="K405" s="53"/>
      <c r="L405" s="53"/>
      <c r="M405" s="37"/>
      <c r="N405" s="53"/>
      <c r="O405" s="53"/>
      <c r="P405" s="53"/>
      <c r="Q405" s="53"/>
    </row>
    <row r="406" spans="1:23" s="7" customFormat="1" ht="12" customHeight="1">
      <c r="A406" s="20">
        <v>55</v>
      </c>
      <c r="C406" s="7" t="s">
        <v>211</v>
      </c>
      <c r="D406" s="58">
        <f>(D144*D146+D403*D391)/(D144+D403)</f>
        <v>0.09493805425179676</v>
      </c>
      <c r="E406" s="58">
        <f aca="true" t="shared" si="274" ref="E406:P406">(E144*E146+E403*E391)/(E144+E403)</f>
        <v>0.09478618403834287</v>
      </c>
      <c r="F406" s="58">
        <f t="shared" si="274"/>
        <v>0.09452788858656416</v>
      </c>
      <c r="G406" s="170">
        <f t="shared" si="274"/>
        <v>0.09440522750037986</v>
      </c>
      <c r="H406" s="58">
        <f t="shared" si="274"/>
        <v>0.09440558378957717</v>
      </c>
      <c r="I406" s="58">
        <f t="shared" si="274"/>
        <v>0.094405972540555</v>
      </c>
      <c r="J406" s="58">
        <f t="shared" si="274"/>
        <v>0.094405972540555</v>
      </c>
      <c r="K406" s="58">
        <f t="shared" si="274"/>
        <v>0.09440597254055501</v>
      </c>
      <c r="L406" s="58">
        <f t="shared" si="274"/>
        <v>0.09440597254055498</v>
      </c>
      <c r="M406" s="170">
        <f t="shared" si="274"/>
        <v>0.09440597254055498</v>
      </c>
      <c r="N406" s="58">
        <f t="shared" si="274"/>
        <v>0.09440597254055498</v>
      </c>
      <c r="O406" s="58">
        <f t="shared" si="274"/>
        <v>0.094405972540555</v>
      </c>
      <c r="P406" s="58">
        <f t="shared" si="274"/>
        <v>0.09440597254055498</v>
      </c>
      <c r="Q406" s="58">
        <f>P406</f>
        <v>0.09440597254055498</v>
      </c>
      <c r="R406" s="66"/>
      <c r="S406" s="66"/>
      <c r="T406" s="66"/>
      <c r="U406" s="66"/>
      <c r="V406" s="66"/>
      <c r="W406" s="66"/>
    </row>
    <row r="407" spans="1:17" ht="12" customHeight="1" hidden="1">
      <c r="A407" s="20"/>
      <c r="C407" s="26" t="s">
        <v>153</v>
      </c>
      <c r="D407" s="14">
        <v>1</v>
      </c>
      <c r="E407" s="14">
        <f>1/(1+D406)</f>
        <v>0.9132936754886369</v>
      </c>
      <c r="F407" s="14">
        <f aca="true" t="shared" si="275" ref="F407:Q407">E407/(1+E406)</f>
        <v>0.8342210459030149</v>
      </c>
      <c r="G407" s="119">
        <f t="shared" si="275"/>
        <v>0.7621743169836444</v>
      </c>
      <c r="H407" s="14">
        <f t="shared" si="275"/>
        <v>0.6964278841434717</v>
      </c>
      <c r="I407" s="14">
        <f t="shared" si="275"/>
        <v>0.6363526415243279</v>
      </c>
      <c r="J407" s="14">
        <f t="shared" si="275"/>
        <v>0.5814594012559144</v>
      </c>
      <c r="K407" s="14">
        <f t="shared" si="275"/>
        <v>0.5313013779576824</v>
      </c>
      <c r="L407" s="14">
        <f t="shared" si="275"/>
        <v>0.4854701009391596</v>
      </c>
      <c r="M407" s="119">
        <f t="shared" si="275"/>
        <v>0.4435923351297041</v>
      </c>
      <c r="N407" s="14">
        <f t="shared" si="275"/>
        <v>0.4053270415730174</v>
      </c>
      <c r="O407" s="14">
        <f t="shared" si="275"/>
        <v>0.3703626001163817</v>
      </c>
      <c r="P407" s="14">
        <f t="shared" si="275"/>
        <v>0.33841427167710136</v>
      </c>
      <c r="Q407" s="14">
        <f t="shared" si="275"/>
        <v>0.3092218794196692</v>
      </c>
    </row>
    <row r="408" spans="1:17" ht="12" customHeight="1" hidden="1">
      <c r="A408" s="54">
        <v>28</v>
      </c>
      <c r="B408" s="51"/>
      <c r="C408" s="51" t="s">
        <v>84</v>
      </c>
      <c r="D408" s="51"/>
      <c r="E408" s="28">
        <f aca="true" t="shared" si="276" ref="E408:P408">E382</f>
        <v>128</v>
      </c>
      <c r="F408" s="28">
        <f t="shared" si="276"/>
        <v>-142</v>
      </c>
      <c r="G408" s="122">
        <f t="shared" si="276"/>
        <v>162</v>
      </c>
      <c r="H408" s="28">
        <f t="shared" si="276"/>
        <v>161.03000000000003</v>
      </c>
      <c r="I408" s="28">
        <f t="shared" si="276"/>
        <v>165.86789999999968</v>
      </c>
      <c r="J408" s="28">
        <f t="shared" si="276"/>
        <v>170.5891836666665</v>
      </c>
      <c r="K408" s="28">
        <f t="shared" si="276"/>
        <v>175.70685917666628</v>
      </c>
      <c r="L408" s="28">
        <f t="shared" si="276"/>
        <v>180.97806495196693</v>
      </c>
      <c r="M408" s="122">
        <f t="shared" si="276"/>
        <v>186.40740690052502</v>
      </c>
      <c r="N408" s="28">
        <f t="shared" si="276"/>
        <v>191.99962910754127</v>
      </c>
      <c r="O408" s="28">
        <f t="shared" si="276"/>
        <v>197.75961798076764</v>
      </c>
      <c r="P408" s="28">
        <f t="shared" si="276"/>
        <v>203.69240652019178</v>
      </c>
      <c r="Q408" s="1">
        <f>P408*(1+O$8)+P408*(1+O$8)*(1+O$8)/(P406-O$8)</f>
        <v>3565.0397437905644</v>
      </c>
    </row>
    <row r="409" spans="1:17" ht="12" customHeight="1" hidden="1">
      <c r="A409" s="20"/>
      <c r="C409" s="26" t="s">
        <v>154</v>
      </c>
      <c r="D409" s="1"/>
      <c r="E409" s="1">
        <f aca="true" t="shared" si="277" ref="E409:Q409">E408*E407</f>
        <v>116.90159046254553</v>
      </c>
      <c r="F409" s="1">
        <f t="shared" si="277"/>
        <v>-118.45938851822812</v>
      </c>
      <c r="G409" s="36">
        <f t="shared" si="277"/>
        <v>123.47223935135038</v>
      </c>
      <c r="H409" s="1">
        <f t="shared" si="277"/>
        <v>112.14578218362327</v>
      </c>
      <c r="I409" s="1">
        <f t="shared" si="277"/>
        <v>105.55047630909287</v>
      </c>
      <c r="J409" s="1">
        <f t="shared" si="277"/>
        <v>99.19068459555511</v>
      </c>
      <c r="K409" s="1">
        <f t="shared" si="277"/>
        <v>93.35329639717925</v>
      </c>
      <c r="L409" s="1">
        <f t="shared" si="277"/>
        <v>87.85943946000516</v>
      </c>
      <c r="M409" s="36">
        <f t="shared" si="277"/>
        <v>82.6888969124768</v>
      </c>
      <c r="N409" s="1">
        <f t="shared" si="277"/>
        <v>77.8226416492763</v>
      </c>
      <c r="O409" s="1">
        <f t="shared" si="277"/>
        <v>73.24276631337946</v>
      </c>
      <c r="P409" s="1">
        <f t="shared" si="277"/>
        <v>68.93241739868675</v>
      </c>
      <c r="Q409" s="1">
        <f t="shared" si="277"/>
        <v>1102.3882897807343</v>
      </c>
    </row>
    <row r="410" spans="1:17" ht="12" customHeight="1">
      <c r="A410" s="20">
        <v>56</v>
      </c>
      <c r="B410" s="4" t="s">
        <v>208</v>
      </c>
      <c r="C410" s="51" t="s">
        <v>212</v>
      </c>
      <c r="D410" s="22">
        <f>SUM(E409:$Q409)/D407</f>
        <v>2025.0891322956772</v>
      </c>
      <c r="E410" s="22">
        <f>SUM(F409:$Q409)/E407</f>
        <v>2089.347154202288</v>
      </c>
      <c r="F410" s="22">
        <f>SUM(G409:$Q409)/F407</f>
        <v>2429.388398080494</v>
      </c>
      <c r="G410" s="111">
        <f>SUM(H409:$Q409)/G407</f>
        <v>2497.0333539077383</v>
      </c>
      <c r="H410" s="22">
        <f>SUM(I409:$Q409)/H407</f>
        <v>2571.7363557594354</v>
      </c>
      <c r="I410" s="22">
        <f>SUM(J409:$Q409)/I407</f>
        <v>2648.6547277777854</v>
      </c>
      <c r="J410" s="22">
        <f>SUM(K409:$Q409)/J407</f>
        <v>2728.1143696111194</v>
      </c>
      <c r="K410" s="22">
        <f>SUM(L409:$Q409)/K407</f>
        <v>2809.9578006994548</v>
      </c>
      <c r="L410" s="22">
        <f>SUM(M409:$Q409)/L407</f>
        <v>2894.2565347204386</v>
      </c>
      <c r="M410" s="111">
        <f>SUM(N409:$Q409)/M407</f>
        <v>2981.0842307620537</v>
      </c>
      <c r="N410" s="22">
        <f>SUM(O409:$Q409)/N407</f>
        <v>3070.516757684916</v>
      </c>
      <c r="O410" s="22">
        <f>SUM(P409:$Q409)/O407</f>
        <v>3162.6322604154643</v>
      </c>
      <c r="P410" s="22">
        <f>SUM(Q409:$Q409)/P407</f>
        <v>3257.5112282279283</v>
      </c>
      <c r="Q410" s="22"/>
    </row>
    <row r="411" spans="1:23" s="78" customFormat="1" ht="12.75" customHeight="1" thickBot="1">
      <c r="A411" s="77">
        <v>57</v>
      </c>
      <c r="B411" s="78" t="s">
        <v>138</v>
      </c>
      <c r="C411" s="91" t="s">
        <v>213</v>
      </c>
      <c r="D411" s="93">
        <f>D410-D144</f>
        <v>1025.0891322956766</v>
      </c>
      <c r="E411" s="93">
        <f aca="true" t="shared" si="278" ref="E411:P411">E410-E144</f>
        <v>1089.3471542022871</v>
      </c>
      <c r="F411" s="93">
        <f t="shared" si="278"/>
        <v>1329.388398080493</v>
      </c>
      <c r="G411" s="116">
        <f t="shared" si="278"/>
        <v>1397.0333539077371</v>
      </c>
      <c r="H411" s="93">
        <f t="shared" si="278"/>
        <v>1438.7363557594342</v>
      </c>
      <c r="I411" s="93">
        <f t="shared" si="278"/>
        <v>1481.664727777784</v>
      </c>
      <c r="J411" s="93">
        <f t="shared" si="278"/>
        <v>1526.1146696111177</v>
      </c>
      <c r="K411" s="93">
        <f t="shared" si="278"/>
        <v>1571.898109699453</v>
      </c>
      <c r="L411" s="93">
        <f t="shared" si="278"/>
        <v>1619.0550529904367</v>
      </c>
      <c r="M411" s="116">
        <f t="shared" si="278"/>
        <v>1667.6267045801517</v>
      </c>
      <c r="N411" s="93">
        <f t="shared" si="278"/>
        <v>1717.6555057175563</v>
      </c>
      <c r="O411" s="93">
        <f t="shared" si="278"/>
        <v>1769.1851708890838</v>
      </c>
      <c r="P411" s="93">
        <f t="shared" si="278"/>
        <v>1822.2607260157563</v>
      </c>
      <c r="Q411" s="133"/>
      <c r="R411" s="82"/>
      <c r="S411" s="82"/>
      <c r="T411" s="82"/>
      <c r="U411" s="82"/>
      <c r="V411" s="82"/>
      <c r="W411" s="82"/>
    </row>
    <row r="412" spans="1:17" ht="12" customHeight="1">
      <c r="A412" s="20"/>
      <c r="D412" s="49"/>
      <c r="E412" s="49"/>
      <c r="F412" s="49"/>
      <c r="G412" s="40"/>
      <c r="H412" s="49"/>
      <c r="I412" s="49"/>
      <c r="J412" s="27"/>
      <c r="K412" s="27"/>
      <c r="L412" s="27"/>
      <c r="M412" s="32"/>
      <c r="N412" s="27"/>
      <c r="O412" s="27"/>
      <c r="P412" s="27"/>
      <c r="Q412" s="27"/>
    </row>
    <row r="413" spans="1:23" s="78" customFormat="1" ht="12.75" customHeight="1" thickBot="1">
      <c r="A413" s="77">
        <v>58</v>
      </c>
      <c r="C413" s="91" t="s">
        <v>214</v>
      </c>
      <c r="D413" s="107">
        <f aca="true" t="shared" si="279" ref="D413:P413">(D23*D391+D22*D146*(1-$F$1))/(D22+D23)</f>
        <v>0.08551049852144098</v>
      </c>
      <c r="E413" s="107">
        <f t="shared" si="279"/>
        <v>0.08498562442347492</v>
      </c>
      <c r="F413" s="107">
        <f t="shared" si="279"/>
        <v>0.0853779608913992</v>
      </c>
      <c r="G413" s="123">
        <f t="shared" si="279"/>
        <v>0.08550977928778639</v>
      </c>
      <c r="H413" s="107">
        <f t="shared" si="279"/>
        <v>0.08551227141844706</v>
      </c>
      <c r="I413" s="107">
        <f t="shared" si="279"/>
        <v>0.08551499097118781</v>
      </c>
      <c r="J413" s="107">
        <f t="shared" si="279"/>
        <v>0.08551499097118781</v>
      </c>
      <c r="K413" s="107">
        <f t="shared" si="279"/>
        <v>0.0855149909711878</v>
      </c>
      <c r="L413" s="107">
        <f t="shared" si="279"/>
        <v>0.08551499097118777</v>
      </c>
      <c r="M413" s="123">
        <f t="shared" si="279"/>
        <v>0.08551499097118777</v>
      </c>
      <c r="N413" s="107">
        <f t="shared" si="279"/>
        <v>0.08551499097118778</v>
      </c>
      <c r="O413" s="107">
        <f t="shared" si="279"/>
        <v>0.08551499097118775</v>
      </c>
      <c r="P413" s="107">
        <f t="shared" si="279"/>
        <v>0.08551499097118774</v>
      </c>
      <c r="Q413" s="108"/>
      <c r="R413" s="82"/>
      <c r="S413" s="82"/>
      <c r="T413" s="82"/>
      <c r="U413" s="82"/>
      <c r="V413" s="82"/>
      <c r="W413" s="82"/>
    </row>
    <row r="414" spans="1:17" ht="12.75" customHeight="1">
      <c r="A414" s="20">
        <v>59</v>
      </c>
      <c r="C414" s="86" t="s">
        <v>215</v>
      </c>
      <c r="D414" s="83"/>
      <c r="E414" s="83">
        <f aca="true" t="shared" si="280" ref="E414:P414">E40-D23*D391</f>
        <v>-31.02099704288196</v>
      </c>
      <c r="F414" s="83">
        <f t="shared" si="280"/>
        <v>2.4791824203459214</v>
      </c>
      <c r="G414" s="36">
        <f t="shared" si="280"/>
        <v>5.281122491840904</v>
      </c>
      <c r="H414" s="83">
        <f t="shared" si="280"/>
        <v>6.341236330679067</v>
      </c>
      <c r="I414" s="83">
        <f t="shared" si="280"/>
        <v>6.532235866768815</v>
      </c>
      <c r="J414" s="83">
        <f t="shared" si="280"/>
        <v>6.46643863782711</v>
      </c>
      <c r="K414" s="83">
        <f t="shared" si="280"/>
        <v>6.660431796961888</v>
      </c>
      <c r="L414" s="83">
        <f t="shared" si="280"/>
        <v>6.86024475087072</v>
      </c>
      <c r="M414" s="36">
        <f t="shared" si="280"/>
        <v>7.066052093397019</v>
      </c>
      <c r="N414" s="83">
        <f t="shared" si="280"/>
        <v>7.278033656198801</v>
      </c>
      <c r="O414" s="83">
        <f t="shared" si="280"/>
        <v>7.496374665884872</v>
      </c>
      <c r="P414" s="83">
        <f t="shared" si="280"/>
        <v>7.721265905861401</v>
      </c>
      <c r="Q414" s="1">
        <f>P414*(1+O$8)+P414*(1+O$8)*(1+O$8)/(P391-O$8)</f>
        <v>97.4726671515731</v>
      </c>
    </row>
    <row r="415" spans="1:17" ht="12.75" customHeight="1">
      <c r="A415" s="20">
        <v>60</v>
      </c>
      <c r="C415" s="66" t="s">
        <v>216</v>
      </c>
      <c r="D415" s="83"/>
      <c r="E415" s="83">
        <f aca="true" t="shared" si="281" ref="E415:P415">E40+E36*(1-$F$1)-(D22+D23)*D398</f>
        <v>-32.09911319712526</v>
      </c>
      <c r="F415" s="83">
        <f t="shared" si="281"/>
        <v>0.0727628782687475</v>
      </c>
      <c r="G415" s="36">
        <f t="shared" si="281"/>
        <v>2.9167652057793134</v>
      </c>
      <c r="H415" s="83">
        <f t="shared" si="281"/>
        <v>3.9937622607383787</v>
      </c>
      <c r="I415" s="83">
        <f t="shared" si="281"/>
        <v>4.12128853354605</v>
      </c>
      <c r="J415" s="83">
        <f t="shared" si="281"/>
        <v>3.9909756121927558</v>
      </c>
      <c r="K415" s="83">
        <f t="shared" si="281"/>
        <v>4.1107048805584725</v>
      </c>
      <c r="L415" s="83">
        <f t="shared" si="281"/>
        <v>4.234026026975243</v>
      </c>
      <c r="M415" s="36">
        <f t="shared" si="281"/>
        <v>4.361046807784533</v>
      </c>
      <c r="N415" s="83">
        <f t="shared" si="281"/>
        <v>4.49187821201798</v>
      </c>
      <c r="O415" s="83">
        <f t="shared" si="281"/>
        <v>4.626634558378555</v>
      </c>
      <c r="P415" s="83">
        <f t="shared" si="281"/>
        <v>4.7654335951299345</v>
      </c>
      <c r="Q415" s="84"/>
    </row>
    <row r="416" spans="1:23" s="51" customFormat="1" ht="12.75" customHeight="1">
      <c r="A416" s="54">
        <v>61</v>
      </c>
      <c r="C416" s="47" t="s">
        <v>217</v>
      </c>
      <c r="D416" s="22"/>
      <c r="E416" s="22">
        <f aca="true" t="shared" si="282" ref="E416:P416">E40+E36*(1-$F$1)-(D22+D23)*D413</f>
        <v>-31.02099704288196</v>
      </c>
      <c r="F416" s="22">
        <f t="shared" si="282"/>
        <v>2.4791824203459214</v>
      </c>
      <c r="G416" s="111">
        <f t="shared" si="282"/>
        <v>5.281122491840904</v>
      </c>
      <c r="H416" s="22">
        <f t="shared" si="282"/>
        <v>6.341236330679067</v>
      </c>
      <c r="I416" s="22">
        <f t="shared" si="282"/>
        <v>6.532235866768815</v>
      </c>
      <c r="J416" s="22">
        <f t="shared" si="282"/>
        <v>6.466438637827082</v>
      </c>
      <c r="K416" s="22">
        <f t="shared" si="282"/>
        <v>6.660431796961859</v>
      </c>
      <c r="L416" s="22">
        <f t="shared" si="282"/>
        <v>6.86024475087072</v>
      </c>
      <c r="M416" s="111">
        <f t="shared" si="282"/>
        <v>7.066052093397019</v>
      </c>
      <c r="N416" s="22">
        <f t="shared" si="282"/>
        <v>7.278033656198829</v>
      </c>
      <c r="O416" s="22">
        <f t="shared" si="282"/>
        <v>7.496374665884844</v>
      </c>
      <c r="P416" s="22">
        <f t="shared" si="282"/>
        <v>7.721265905861401</v>
      </c>
      <c r="Q416" s="44"/>
      <c r="R416" s="82"/>
      <c r="S416" s="82"/>
      <c r="T416" s="82"/>
      <c r="U416" s="82"/>
      <c r="V416" s="82"/>
      <c r="W416" s="82"/>
    </row>
    <row r="417" spans="1:17" ht="12.75" customHeight="1">
      <c r="A417" s="20"/>
      <c r="C417" s="66"/>
      <c r="D417" s="83"/>
      <c r="E417" s="83"/>
      <c r="F417" s="83"/>
      <c r="G417" s="36"/>
      <c r="H417" s="83"/>
      <c r="I417" s="83"/>
      <c r="J417" s="83"/>
      <c r="K417" s="83"/>
      <c r="L417" s="83"/>
      <c r="M417" s="36"/>
      <c r="N417" s="83"/>
      <c r="O417" s="83"/>
      <c r="P417" s="83"/>
      <c r="Q417" s="84"/>
    </row>
    <row r="418" spans="1:17" ht="12.75" customHeight="1" hidden="1">
      <c r="A418" s="20"/>
      <c r="C418" s="26" t="s">
        <v>143</v>
      </c>
      <c r="D418" s="83"/>
      <c r="E418" s="83">
        <f aca="true" t="shared" si="283" ref="E418:P418">E392</f>
        <v>0.8857231199589626</v>
      </c>
      <c r="F418" s="83">
        <f t="shared" si="283"/>
        <v>0.7861080988278909</v>
      </c>
      <c r="G418" s="36">
        <f t="shared" si="283"/>
        <v>0.6999461756723022</v>
      </c>
      <c r="H418" s="83">
        <f t="shared" si="283"/>
        <v>0.624118682252654</v>
      </c>
      <c r="I418" s="83">
        <f t="shared" si="283"/>
        <v>0.5565035735698134</v>
      </c>
      <c r="J418" s="83">
        <f t="shared" si="283"/>
        <v>0.49621148044253943</v>
      </c>
      <c r="K418" s="83">
        <f t="shared" si="283"/>
        <v>0.44245148641815085</v>
      </c>
      <c r="L418" s="83">
        <f t="shared" si="283"/>
        <v>0.3945158980583083</v>
      </c>
      <c r="M418" s="36">
        <f t="shared" si="283"/>
        <v>0.35177369406249215</v>
      </c>
      <c r="N418" s="83">
        <f t="shared" si="283"/>
        <v>0.3136622185402595</v>
      </c>
      <c r="O418" s="83">
        <f t="shared" si="283"/>
        <v>0.2796797742417877</v>
      </c>
      <c r="P418" s="83">
        <f t="shared" si="283"/>
        <v>0.24937901824442227</v>
      </c>
      <c r="Q418" s="87">
        <f>P418/(1+$P391)</f>
        <v>0.2223610731564297</v>
      </c>
    </row>
    <row r="419" spans="1:17" ht="12.75" customHeight="1" hidden="1">
      <c r="A419" s="20"/>
      <c r="C419" s="26" t="s">
        <v>158</v>
      </c>
      <c r="D419" s="1"/>
      <c r="E419" s="1">
        <f aca="true" t="shared" si="284" ref="E419:Q419">E414*E418</f>
        <v>-27.47601428505916</v>
      </c>
      <c r="F419" s="1">
        <f t="shared" si="284"/>
        <v>1.9489053791056614</v>
      </c>
      <c r="G419" s="36">
        <f t="shared" si="284"/>
        <v>3.69650149142102</v>
      </c>
      <c r="H419" s="1">
        <f t="shared" si="284"/>
        <v>3.957684062556074</v>
      </c>
      <c r="I419" s="1">
        <f t="shared" si="284"/>
        <v>3.6352126032577528</v>
      </c>
      <c r="J419" s="1">
        <f t="shared" si="284"/>
        <v>3.2087210896670286</v>
      </c>
      <c r="K419" s="1">
        <f t="shared" si="284"/>
        <v>2.946917948752503</v>
      </c>
      <c r="L419" s="1">
        <f t="shared" si="284"/>
        <v>2.7064756187895576</v>
      </c>
      <c r="M419" s="36">
        <f t="shared" si="284"/>
        <v>2.485651247332275</v>
      </c>
      <c r="N419" s="1">
        <f t="shared" si="284"/>
        <v>2.2828441832139923</v>
      </c>
      <c r="O419" s="1">
        <f t="shared" si="284"/>
        <v>2.0965843741865378</v>
      </c>
      <c r="P419" s="1">
        <f t="shared" si="284"/>
        <v>1.925521711207846</v>
      </c>
      <c r="Q419" s="1">
        <f t="shared" si="284"/>
        <v>21.67412687124327</v>
      </c>
    </row>
    <row r="420" spans="1:17" ht="12.75" customHeight="1">
      <c r="A420" s="20">
        <v>62</v>
      </c>
      <c r="C420" s="51" t="s">
        <v>218</v>
      </c>
      <c r="D420" s="22">
        <f>SUM(E419:$Q419)/D392</f>
        <v>25.089132295674354</v>
      </c>
      <c r="E420" s="22">
        <f>SUM(F419:$Q419)/E392</f>
        <v>59.34715420228499</v>
      </c>
      <c r="F420" s="22">
        <f>SUM(G419:$Q419)/F392</f>
        <v>64.38839808049056</v>
      </c>
      <c r="G420" s="111">
        <f>SUM(H419:$Q419)/G392</f>
        <v>67.03335390773465</v>
      </c>
      <c r="H420" s="22">
        <f>SUM(I419:$Q419)/H392</f>
        <v>68.83635575943067</v>
      </c>
      <c r="I420" s="22">
        <f>SUM(J419:$Q419)/I392</f>
        <v>70.6677277777794</v>
      </c>
      <c r="J420" s="22">
        <f>SUM(K419:$Q419)/J392</f>
        <v>72.78775961111283</v>
      </c>
      <c r="K420" s="22">
        <f>SUM(L419:$Q419)/K392</f>
        <v>74.97139239944632</v>
      </c>
      <c r="L420" s="22">
        <f>SUM(M419:$Q419)/L392</f>
        <v>77.22053417142983</v>
      </c>
      <c r="M420" s="111">
        <f>SUM(N419:$Q419)/M392</f>
        <v>79.53715019657268</v>
      </c>
      <c r="N420" s="22">
        <f>SUM(O419:$Q419)/N392</f>
        <v>81.92326470246995</v>
      </c>
      <c r="O420" s="22">
        <f>SUM(P419:$Q419)/O392</f>
        <v>84.38096264354404</v>
      </c>
      <c r="P420" s="22">
        <f>SUM(Q419:$Q419)/P392</f>
        <v>86.91239152285036</v>
      </c>
      <c r="Q420" s="84"/>
    </row>
    <row r="421" spans="1:23" s="78" customFormat="1" ht="12.75" customHeight="1" thickBot="1">
      <c r="A421" s="77">
        <v>63</v>
      </c>
      <c r="B421" s="78" t="s">
        <v>160</v>
      </c>
      <c r="C421" s="91" t="s">
        <v>219</v>
      </c>
      <c r="D421" s="93">
        <f aca="true" t="shared" si="285" ref="D421:P421">D420+D23</f>
        <v>1025.0891322956743</v>
      </c>
      <c r="E421" s="93">
        <f t="shared" si="285"/>
        <v>1089.347154202285</v>
      </c>
      <c r="F421" s="93">
        <f t="shared" si="285"/>
        <v>1329.3883980804906</v>
      </c>
      <c r="G421" s="116">
        <f t="shared" si="285"/>
        <v>1397.0333539077346</v>
      </c>
      <c r="H421" s="93">
        <f t="shared" si="285"/>
        <v>1438.7363557594308</v>
      </c>
      <c r="I421" s="93">
        <f t="shared" si="285"/>
        <v>1481.6647277777797</v>
      </c>
      <c r="J421" s="93">
        <f t="shared" si="285"/>
        <v>1526.114669611113</v>
      </c>
      <c r="K421" s="93">
        <f t="shared" si="285"/>
        <v>1571.8981096994466</v>
      </c>
      <c r="L421" s="93">
        <f t="shared" si="285"/>
        <v>1619.0550529904294</v>
      </c>
      <c r="M421" s="116">
        <f t="shared" si="285"/>
        <v>1667.6267045801428</v>
      </c>
      <c r="N421" s="93">
        <f t="shared" si="285"/>
        <v>1717.6555057175472</v>
      </c>
      <c r="O421" s="93">
        <f t="shared" si="285"/>
        <v>1769.1851708890736</v>
      </c>
      <c r="P421" s="93">
        <f t="shared" si="285"/>
        <v>1822.2607260157445</v>
      </c>
      <c r="Q421" s="109"/>
      <c r="R421" s="82"/>
      <c r="S421" s="82"/>
      <c r="T421" s="82"/>
      <c r="U421" s="82"/>
      <c r="V421" s="82"/>
      <c r="W421" s="82"/>
    </row>
    <row r="422" spans="1:17" s="82" customFormat="1" ht="12.75" customHeight="1">
      <c r="A422" s="65"/>
      <c r="C422" s="66"/>
      <c r="D422" s="67"/>
      <c r="E422" s="67"/>
      <c r="F422" s="67"/>
      <c r="G422" s="118"/>
      <c r="H422" s="67"/>
      <c r="I422" s="67"/>
      <c r="J422" s="67"/>
      <c r="K422" s="67"/>
      <c r="L422" s="67"/>
      <c r="M422" s="118"/>
      <c r="N422" s="67"/>
      <c r="O422" s="67"/>
      <c r="P422" s="67"/>
      <c r="Q422" s="84"/>
    </row>
    <row r="423" spans="1:17" s="82" customFormat="1" ht="12.75" customHeight="1" hidden="1">
      <c r="A423" s="88"/>
      <c r="C423" s="82" t="s">
        <v>22</v>
      </c>
      <c r="D423" s="71"/>
      <c r="E423" s="71">
        <f aca="true" t="shared" si="286" ref="E423:P423">E415</f>
        <v>-32.09911319712526</v>
      </c>
      <c r="F423" s="71">
        <f t="shared" si="286"/>
        <v>0.0727628782687475</v>
      </c>
      <c r="G423" s="114">
        <f t="shared" si="286"/>
        <v>2.9167652057793134</v>
      </c>
      <c r="H423" s="71">
        <f t="shared" si="286"/>
        <v>3.9937622607383787</v>
      </c>
      <c r="I423" s="71">
        <f t="shared" si="286"/>
        <v>4.12128853354605</v>
      </c>
      <c r="J423" s="71">
        <f t="shared" si="286"/>
        <v>3.9909756121927558</v>
      </c>
      <c r="K423" s="71">
        <f t="shared" si="286"/>
        <v>4.1107048805584725</v>
      </c>
      <c r="L423" s="71">
        <f t="shared" si="286"/>
        <v>4.234026026975243</v>
      </c>
      <c r="M423" s="114">
        <f t="shared" si="286"/>
        <v>4.361046807784533</v>
      </c>
      <c r="N423" s="71">
        <f t="shared" si="286"/>
        <v>4.49187821201798</v>
      </c>
      <c r="O423" s="71">
        <f t="shared" si="286"/>
        <v>4.626634558378555</v>
      </c>
      <c r="P423" s="71">
        <f t="shared" si="286"/>
        <v>4.7654335951299345</v>
      </c>
      <c r="Q423" s="1">
        <f>P423*(1+O$8)+P423*(1+O$8)*(1+O$8)/(P398-O$8)</f>
        <v>94.42815987151462</v>
      </c>
    </row>
    <row r="424" spans="1:17" ht="12.75" customHeight="1" hidden="1">
      <c r="A424" s="20"/>
      <c r="C424" s="26" t="s">
        <v>162</v>
      </c>
      <c r="D424" s="1"/>
      <c r="E424" s="1">
        <f aca="true" t="shared" si="287" ref="E424:Q424">E423*E399</f>
        <v>-29.55584577342642</v>
      </c>
      <c r="F424" s="1">
        <f t="shared" si="287"/>
        <v>0.06168250506354011</v>
      </c>
      <c r="G424" s="36">
        <f t="shared" si="287"/>
        <v>2.276002662119751</v>
      </c>
      <c r="H424" s="1">
        <f t="shared" si="287"/>
        <v>2.868358558683281</v>
      </c>
      <c r="I424" s="1">
        <f t="shared" si="287"/>
        <v>2.72435877978851</v>
      </c>
      <c r="J424" s="1">
        <f t="shared" si="287"/>
        <v>2.428233953911945</v>
      </c>
      <c r="K424" s="1">
        <f t="shared" si="287"/>
        <v>2.3020138167531536</v>
      </c>
      <c r="L424" s="1">
        <f t="shared" si="287"/>
        <v>2.182354630197505</v>
      </c>
      <c r="M424" s="36">
        <f t="shared" si="287"/>
        <v>2.0689153545837335</v>
      </c>
      <c r="N424" s="1">
        <f t="shared" si="287"/>
        <v>1.961372677567458</v>
      </c>
      <c r="O424" s="1">
        <f t="shared" si="287"/>
        <v>1.8594200926515234</v>
      </c>
      <c r="P424" s="1">
        <f t="shared" si="287"/>
        <v>1.7627670256140175</v>
      </c>
      <c r="Q424" s="1">
        <f t="shared" si="287"/>
        <v>32.14949801216354</v>
      </c>
    </row>
    <row r="425" spans="1:17" ht="12.75" customHeight="1">
      <c r="A425" s="20">
        <v>64</v>
      </c>
      <c r="C425" s="51" t="s">
        <v>220</v>
      </c>
      <c r="D425" s="22">
        <f>SUM(E424:$Q424)/D399</f>
        <v>25.08913229567154</v>
      </c>
      <c r="E425" s="22">
        <f>SUM(F424:$Q424)/E399</f>
        <v>59.34715420228202</v>
      </c>
      <c r="F425" s="22">
        <f>SUM(G424:$Q424)/F399</f>
        <v>64.38839808048742</v>
      </c>
      <c r="G425" s="111">
        <f>SUM(H424:$Q424)/G399</f>
        <v>67.03335390773134</v>
      </c>
      <c r="H425" s="22">
        <f>SUM(I424:$Q424)/H399</f>
        <v>68.83635575942715</v>
      </c>
      <c r="I425" s="22">
        <f>SUM(J424:$Q424)/I399</f>
        <v>70.66772777777571</v>
      </c>
      <c r="J425" s="22">
        <f>SUM(K424:$Q424)/J399</f>
        <v>72.78775961110894</v>
      </c>
      <c r="K425" s="22">
        <f>SUM(L424:$Q424)/K399</f>
        <v>74.97139239944221</v>
      </c>
      <c r="L425" s="22">
        <f>SUM(M424:$Q424)/L399</f>
        <v>77.22053417142547</v>
      </c>
      <c r="M425" s="111">
        <f>SUM(N424:$Q424)/M399</f>
        <v>79.53715019656818</v>
      </c>
      <c r="N425" s="22">
        <f>SUM(O424:$Q424)/N399</f>
        <v>81.92326470246529</v>
      </c>
      <c r="O425" s="22">
        <f>SUM(P424:$Q424)/O399</f>
        <v>84.38096264353925</v>
      </c>
      <c r="P425" s="22">
        <f>SUM(Q424:$Q424)/P399</f>
        <v>86.91239152284543</v>
      </c>
      <c r="Q425" s="22"/>
    </row>
    <row r="426" spans="1:23" s="78" customFormat="1" ht="12.75" customHeight="1" thickBot="1">
      <c r="A426" s="77">
        <v>65</v>
      </c>
      <c r="B426" s="78" t="s">
        <v>221</v>
      </c>
      <c r="C426" s="91"/>
      <c r="D426" s="93">
        <f>D425+D23-(D144-D140)</f>
        <v>1025.0891322956709</v>
      </c>
      <c r="E426" s="93">
        <f aca="true" t="shared" si="288" ref="E426:P426">E425+E23-(E144-E140)</f>
        <v>1089.3471542022812</v>
      </c>
      <c r="F426" s="93">
        <f t="shared" si="288"/>
        <v>1329.3883980804865</v>
      </c>
      <c r="G426" s="116">
        <f t="shared" si="288"/>
        <v>1397.0333539077303</v>
      </c>
      <c r="H426" s="93">
        <f t="shared" si="288"/>
        <v>1438.736355759426</v>
      </c>
      <c r="I426" s="93">
        <f t="shared" si="288"/>
        <v>1481.6647277777747</v>
      </c>
      <c r="J426" s="93">
        <f t="shared" si="288"/>
        <v>1526.1146696111075</v>
      </c>
      <c r="K426" s="93">
        <f t="shared" si="288"/>
        <v>1571.898109699441</v>
      </c>
      <c r="L426" s="93">
        <f t="shared" si="288"/>
        <v>1619.0550529904235</v>
      </c>
      <c r="M426" s="116">
        <f t="shared" si="288"/>
        <v>1667.6267045801367</v>
      </c>
      <c r="N426" s="93">
        <f t="shared" si="288"/>
        <v>1717.6555057175406</v>
      </c>
      <c r="O426" s="93">
        <f t="shared" si="288"/>
        <v>1769.1851708890665</v>
      </c>
      <c r="P426" s="93">
        <f t="shared" si="288"/>
        <v>1822.260726015737</v>
      </c>
      <c r="Q426" s="109"/>
      <c r="R426" s="82"/>
      <c r="S426" s="82"/>
      <c r="T426" s="82"/>
      <c r="U426" s="82"/>
      <c r="V426" s="82"/>
      <c r="W426" s="82"/>
    </row>
    <row r="427" spans="1:17" s="82" customFormat="1" ht="12.75" customHeight="1">
      <c r="A427" s="65"/>
      <c r="C427" s="66"/>
      <c r="D427" s="67"/>
      <c r="E427" s="67"/>
      <c r="F427" s="67"/>
      <c r="G427" s="118"/>
      <c r="H427" s="67"/>
      <c r="I427" s="67"/>
      <c r="J427" s="67"/>
      <c r="K427" s="67"/>
      <c r="L427" s="67"/>
      <c r="M427" s="67"/>
      <c r="N427" s="67"/>
      <c r="O427" s="67"/>
      <c r="P427" s="67"/>
      <c r="Q427" s="84"/>
    </row>
    <row r="428" spans="1:17" ht="12" customHeight="1" thickBot="1">
      <c r="A428" s="20"/>
      <c r="B428"/>
      <c r="C428"/>
      <c r="D428" s="127">
        <v>0</v>
      </c>
      <c r="E428" s="127">
        <v>1</v>
      </c>
      <c r="F428" s="127">
        <f aca="true" t="shared" si="289" ref="F428:Q428">E428+1</f>
        <v>2</v>
      </c>
      <c r="G428" s="137">
        <f t="shared" si="289"/>
        <v>3</v>
      </c>
      <c r="H428" s="127">
        <f t="shared" si="289"/>
        <v>4</v>
      </c>
      <c r="I428" s="127">
        <f t="shared" si="289"/>
        <v>5</v>
      </c>
      <c r="J428" s="127">
        <f t="shared" si="289"/>
        <v>6</v>
      </c>
      <c r="K428" s="127">
        <f t="shared" si="289"/>
        <v>7</v>
      </c>
      <c r="L428" s="127">
        <f t="shared" si="289"/>
        <v>8</v>
      </c>
      <c r="M428" s="137">
        <f t="shared" si="289"/>
        <v>9</v>
      </c>
      <c r="N428" s="127">
        <f t="shared" si="289"/>
        <v>10</v>
      </c>
      <c r="O428" s="127">
        <f t="shared" si="289"/>
        <v>11</v>
      </c>
      <c r="P428" s="127">
        <f t="shared" si="289"/>
        <v>12</v>
      </c>
      <c r="Q428" s="127">
        <f t="shared" si="289"/>
        <v>13</v>
      </c>
    </row>
    <row r="429" spans="1:17" ht="12" customHeight="1">
      <c r="A429" s="54">
        <v>27</v>
      </c>
      <c r="B429" s="51"/>
      <c r="C429" s="47" t="s">
        <v>18</v>
      </c>
      <c r="D429" s="51"/>
      <c r="E429" s="72">
        <f>E$55-D395*(D391-D$133)</f>
        <v>27.999999999999957</v>
      </c>
      <c r="F429" s="72">
        <f aca="true" t="shared" si="290" ref="F429:Q429">F$55-E395*(E391-E$133)</f>
        <v>-142.00000000000006</v>
      </c>
      <c r="G429" s="72">
        <f t="shared" si="290"/>
        <v>51.99999999999997</v>
      </c>
      <c r="H429" s="72">
        <f t="shared" si="290"/>
        <v>84.02999999999997</v>
      </c>
      <c r="I429" s="72">
        <f t="shared" si="290"/>
        <v>86.55789999999963</v>
      </c>
      <c r="J429" s="72">
        <f t="shared" si="290"/>
        <v>88.89988366666645</v>
      </c>
      <c r="K429" s="72">
        <f t="shared" si="290"/>
        <v>91.56688017666627</v>
      </c>
      <c r="L429" s="72">
        <f t="shared" si="290"/>
        <v>94.31388658196698</v>
      </c>
      <c r="M429" s="72">
        <f t="shared" si="290"/>
        <v>97.14330317942503</v>
      </c>
      <c r="N429" s="72">
        <f t="shared" si="290"/>
        <v>100.05760227480815</v>
      </c>
      <c r="O429" s="72">
        <f t="shared" si="290"/>
        <v>103.05933034305255</v>
      </c>
      <c r="P429" s="72">
        <f t="shared" si="290"/>
        <v>106.15111025334508</v>
      </c>
      <c r="Q429" s="72">
        <f t="shared" si="290"/>
        <v>109.33564356094324</v>
      </c>
    </row>
    <row r="430" spans="1:23" s="7" customFormat="1" ht="12" customHeight="1">
      <c r="A430" s="54">
        <v>28</v>
      </c>
      <c r="B430" s="47"/>
      <c r="C430" s="47" t="s">
        <v>15</v>
      </c>
      <c r="D430" s="47"/>
      <c r="E430" s="72">
        <f>E$56-D402*(D398-D$133)</f>
        <v>118</v>
      </c>
      <c r="F430" s="72">
        <f aca="true" t="shared" si="291" ref="F430:Q430">F$56-E402*(E398-E$133)</f>
        <v>-152</v>
      </c>
      <c r="G430" s="72">
        <f t="shared" si="291"/>
        <v>150.99999999999997</v>
      </c>
      <c r="H430" s="72">
        <f t="shared" si="291"/>
        <v>150.03000000000006</v>
      </c>
      <c r="I430" s="72">
        <f t="shared" si="291"/>
        <v>154.53789999999967</v>
      </c>
      <c r="J430" s="72">
        <f t="shared" si="291"/>
        <v>158.91928366666644</v>
      </c>
      <c r="K430" s="72">
        <f t="shared" si="291"/>
        <v>163.68686217666627</v>
      </c>
      <c r="L430" s="72">
        <f t="shared" si="291"/>
        <v>168.59746804196698</v>
      </c>
      <c r="M430" s="72">
        <f t="shared" si="291"/>
        <v>173.65539208322497</v>
      </c>
      <c r="N430" s="72">
        <f t="shared" si="291"/>
        <v>178.86505384572226</v>
      </c>
      <c r="O430" s="72">
        <f t="shared" si="291"/>
        <v>184.23100546109404</v>
      </c>
      <c r="P430" s="72">
        <f t="shared" si="291"/>
        <v>189.75793562492797</v>
      </c>
      <c r="Q430" s="72">
        <f t="shared" si="291"/>
        <v>195.45067369367348</v>
      </c>
      <c r="R430" s="66"/>
      <c r="S430" s="66"/>
      <c r="T430" s="66"/>
      <c r="U430" s="66"/>
      <c r="V430" s="66"/>
      <c r="W430" s="66"/>
    </row>
    <row r="431" spans="1:23" s="7" customFormat="1" ht="12" customHeight="1">
      <c r="A431" s="65"/>
      <c r="B431" s="66"/>
      <c r="C431" s="66"/>
      <c r="D431" s="113"/>
      <c r="E431" s="74"/>
      <c r="F431" s="74"/>
      <c r="G431" s="75"/>
      <c r="H431" s="74"/>
      <c r="I431" s="74"/>
      <c r="J431" s="74"/>
      <c r="K431" s="74"/>
      <c r="L431" s="74"/>
      <c r="M431" s="75"/>
      <c r="N431" s="74"/>
      <c r="O431" s="74"/>
      <c r="P431" s="74"/>
      <c r="Q431" s="74"/>
      <c r="R431" s="66"/>
      <c r="S431" s="66"/>
      <c r="T431" s="66"/>
      <c r="U431" s="66"/>
      <c r="V431" s="66"/>
      <c r="W431" s="66"/>
    </row>
    <row r="432" spans="1:23" s="7" customFormat="1" ht="12" customHeight="1">
      <c r="A432" s="20"/>
      <c r="C432" s="7" t="s">
        <v>1</v>
      </c>
      <c r="D432" s="60">
        <f aca="true" t="shared" si="292" ref="D432:Q432">D$133</f>
        <v>0.09</v>
      </c>
      <c r="E432" s="60">
        <f t="shared" si="292"/>
        <v>0.09</v>
      </c>
      <c r="F432" s="60">
        <f t="shared" si="292"/>
        <v>0.09</v>
      </c>
      <c r="G432" s="60">
        <f t="shared" si="292"/>
        <v>0.09</v>
      </c>
      <c r="H432" s="60">
        <f t="shared" si="292"/>
        <v>0.09</v>
      </c>
      <c r="I432" s="60">
        <f t="shared" si="292"/>
        <v>0.09</v>
      </c>
      <c r="J432" s="60">
        <f t="shared" si="292"/>
        <v>0.09</v>
      </c>
      <c r="K432" s="60">
        <f t="shared" si="292"/>
        <v>0.09</v>
      </c>
      <c r="L432" s="60">
        <f t="shared" si="292"/>
        <v>0.09</v>
      </c>
      <c r="M432" s="60">
        <f t="shared" si="292"/>
        <v>0.09</v>
      </c>
      <c r="N432" s="60">
        <f t="shared" si="292"/>
        <v>0.09</v>
      </c>
      <c r="O432" s="60">
        <f t="shared" si="292"/>
        <v>0.09</v>
      </c>
      <c r="P432" s="60">
        <f t="shared" si="292"/>
        <v>0.09</v>
      </c>
      <c r="Q432" s="60">
        <f t="shared" si="292"/>
        <v>0.09</v>
      </c>
      <c r="R432" s="66"/>
      <c r="S432" s="66"/>
      <c r="T432" s="66"/>
      <c r="U432" s="66"/>
      <c r="V432" s="66"/>
      <c r="W432" s="66"/>
    </row>
    <row r="433" spans="1:17" ht="12" customHeight="1" hidden="1">
      <c r="A433" s="20"/>
      <c r="C433" s="26" t="s">
        <v>143</v>
      </c>
      <c r="D433" s="14">
        <v>1</v>
      </c>
      <c r="E433" s="14">
        <f>1/(1+D432)</f>
        <v>0.9174311926605504</v>
      </c>
      <c r="F433" s="55">
        <f aca="true" t="shared" si="293" ref="F433:Q433">E433/(1+E432)</f>
        <v>0.84167999326656</v>
      </c>
      <c r="G433" s="117">
        <f t="shared" si="293"/>
        <v>0.7721834800610641</v>
      </c>
      <c r="H433" s="55">
        <f t="shared" si="293"/>
        <v>0.7084252110651964</v>
      </c>
      <c r="I433" s="55">
        <f t="shared" si="293"/>
        <v>0.6499313862983452</v>
      </c>
      <c r="J433" s="55">
        <f t="shared" si="293"/>
        <v>0.5962673268792158</v>
      </c>
      <c r="K433" s="55">
        <f t="shared" si="293"/>
        <v>0.5470342448433172</v>
      </c>
      <c r="L433" s="55">
        <f t="shared" si="293"/>
        <v>0.501866279672768</v>
      </c>
      <c r="M433" s="117">
        <f t="shared" si="293"/>
        <v>0.4604277795163009</v>
      </c>
      <c r="N433" s="55">
        <f t="shared" si="293"/>
        <v>0.42241080689568883</v>
      </c>
      <c r="O433" s="55">
        <f t="shared" si="293"/>
        <v>0.38753285036301727</v>
      </c>
      <c r="P433" s="55">
        <f t="shared" si="293"/>
        <v>0.35553472510368556</v>
      </c>
      <c r="Q433" s="55">
        <f t="shared" si="293"/>
        <v>0.3261786468841152</v>
      </c>
    </row>
    <row r="434" spans="1:17" ht="12" customHeight="1" hidden="1">
      <c r="A434" s="20"/>
      <c r="B434" s="51"/>
      <c r="C434" s="51" t="s">
        <v>81</v>
      </c>
      <c r="D434" s="51"/>
      <c r="E434" s="28">
        <f aca="true" t="shared" si="294" ref="E434:P434">E429</f>
        <v>27.999999999999957</v>
      </c>
      <c r="F434" s="28">
        <f t="shared" si="294"/>
        <v>-142.00000000000006</v>
      </c>
      <c r="G434" s="122">
        <f t="shared" si="294"/>
        <v>51.99999999999997</v>
      </c>
      <c r="H434" s="28">
        <f t="shared" si="294"/>
        <v>84.02999999999997</v>
      </c>
      <c r="I434" s="28">
        <f t="shared" si="294"/>
        <v>86.55789999999963</v>
      </c>
      <c r="J434" s="28">
        <f t="shared" si="294"/>
        <v>88.89988366666645</v>
      </c>
      <c r="K434" s="28">
        <f t="shared" si="294"/>
        <v>91.56688017666627</v>
      </c>
      <c r="L434" s="28">
        <f t="shared" si="294"/>
        <v>94.31388658196698</v>
      </c>
      <c r="M434" s="28">
        <f t="shared" si="294"/>
        <v>97.14330317942503</v>
      </c>
      <c r="N434" s="28">
        <f t="shared" si="294"/>
        <v>100.05760227480815</v>
      </c>
      <c r="O434" s="28">
        <f t="shared" si="294"/>
        <v>103.05933034305255</v>
      </c>
      <c r="P434" s="28">
        <f t="shared" si="294"/>
        <v>106.15111025334508</v>
      </c>
      <c r="Q434" s="1">
        <f>P434*(1+O$8)+P434*(1+O$8)*(1+O$8)/(P432-O$8)</f>
        <v>1986.2641913571758</v>
      </c>
    </row>
    <row r="435" spans="1:17" ht="12" customHeight="1" hidden="1">
      <c r="A435" s="20"/>
      <c r="C435" s="26" t="s">
        <v>144</v>
      </c>
      <c r="D435" s="1"/>
      <c r="E435" s="1">
        <f aca="true" t="shared" si="295" ref="E435:Q435">E434*E433</f>
        <v>25.688073394495373</v>
      </c>
      <c r="F435" s="1">
        <f t="shared" si="295"/>
        <v>-119.51855904385157</v>
      </c>
      <c r="G435" s="36">
        <f t="shared" si="295"/>
        <v>40.15354096317531</v>
      </c>
      <c r="H435" s="1">
        <f t="shared" si="295"/>
        <v>59.528970485808436</v>
      </c>
      <c r="I435" s="1">
        <f t="shared" si="295"/>
        <v>56.2566959420733</v>
      </c>
      <c r="J435" s="1">
        <f t="shared" si="295"/>
        <v>53.008095993796466</v>
      </c>
      <c r="K435" s="1">
        <f t="shared" si="295"/>
        <v>50.09021915010115</v>
      </c>
      <c r="L435" s="1">
        <f t="shared" si="295"/>
        <v>47.332959380371165</v>
      </c>
      <c r="M435" s="36">
        <f t="shared" si="295"/>
        <v>44.72747537778148</v>
      </c>
      <c r="N435" s="1">
        <f t="shared" si="295"/>
        <v>42.26541251294962</v>
      </c>
      <c r="O435" s="1">
        <f t="shared" si="295"/>
        <v>39.93887604434695</v>
      </c>
      <c r="P435" s="1">
        <f t="shared" si="295"/>
        <v>37.74040580337406</v>
      </c>
      <c r="Q435" s="1">
        <f t="shared" si="295"/>
        <v>647.8769662912548</v>
      </c>
    </row>
    <row r="436" spans="1:17" ht="12" customHeight="1">
      <c r="A436" s="20">
        <v>49</v>
      </c>
      <c r="C436" s="56" t="s">
        <v>166</v>
      </c>
      <c r="D436" s="46">
        <f>SUM(E435:$Q435)/D433</f>
        <v>1025.0891322956766</v>
      </c>
      <c r="E436" s="46">
        <f>SUM(F435:$Q435)/E433</f>
        <v>1089.3471542022876</v>
      </c>
      <c r="F436" s="46">
        <f>SUM(G435:$Q435)/F433</f>
        <v>1329.3883980804935</v>
      </c>
      <c r="G436" s="33">
        <f>SUM(H435:$Q435)/G433</f>
        <v>1397.033353907738</v>
      </c>
      <c r="H436" s="46">
        <f>SUM(I435:$Q435)/H433</f>
        <v>1438.7363557594347</v>
      </c>
      <c r="I436" s="46">
        <f>SUM(J435:$Q435)/I433</f>
        <v>1481.6647277777843</v>
      </c>
      <c r="J436" s="46">
        <f>SUM(K435:$Q435)/J433</f>
        <v>1526.1146696111186</v>
      </c>
      <c r="K436" s="46">
        <f>SUM(L435:$Q435)/K433</f>
        <v>1571.8981096994532</v>
      </c>
      <c r="L436" s="46">
        <f>SUM(M435:$Q435)/L433</f>
        <v>1619.0550529904372</v>
      </c>
      <c r="M436" s="33">
        <f>SUM(N435:$Q435)/M433</f>
        <v>1667.6267045801515</v>
      </c>
      <c r="N436" s="46">
        <f>SUM(O435:$Q435)/N433</f>
        <v>1717.6555057175572</v>
      </c>
      <c r="O436" s="46">
        <f>SUM(P435:$Q435)/O433</f>
        <v>1769.185170889085</v>
      </c>
      <c r="P436" s="46">
        <f>SUM(Q435:$Q435)/P433</f>
        <v>1822.2607260157574</v>
      </c>
      <c r="Q436" s="46"/>
    </row>
    <row r="437" spans="1:16" ht="12.75" customHeight="1">
      <c r="A437" s="20"/>
      <c r="D437" s="50"/>
      <c r="E437" s="50"/>
      <c r="F437" s="50"/>
      <c r="G437" s="199"/>
      <c r="H437" s="50"/>
      <c r="I437" s="50"/>
      <c r="J437" s="50"/>
      <c r="K437" s="50"/>
      <c r="L437" s="50"/>
      <c r="M437" s="38"/>
      <c r="N437" s="50"/>
      <c r="O437" s="50"/>
      <c r="P437" s="50"/>
    </row>
    <row r="438" spans="1:23" s="7" customFormat="1" ht="12" customHeight="1">
      <c r="A438" s="20"/>
      <c r="C438" s="7" t="s">
        <v>1</v>
      </c>
      <c r="D438" s="60">
        <f aca="true" t="shared" si="296" ref="D438:Q438">D$133</f>
        <v>0.09</v>
      </c>
      <c r="E438" s="60">
        <f t="shared" si="296"/>
        <v>0.09</v>
      </c>
      <c r="F438" s="60">
        <f t="shared" si="296"/>
        <v>0.09</v>
      </c>
      <c r="G438" s="60">
        <f t="shared" si="296"/>
        <v>0.09</v>
      </c>
      <c r="H438" s="60">
        <f t="shared" si="296"/>
        <v>0.09</v>
      </c>
      <c r="I438" s="60">
        <f t="shared" si="296"/>
        <v>0.09</v>
      </c>
      <c r="J438" s="60">
        <f t="shared" si="296"/>
        <v>0.09</v>
      </c>
      <c r="K438" s="60">
        <f t="shared" si="296"/>
        <v>0.09</v>
      </c>
      <c r="L438" s="60">
        <f t="shared" si="296"/>
        <v>0.09</v>
      </c>
      <c r="M438" s="60">
        <f t="shared" si="296"/>
        <v>0.09</v>
      </c>
      <c r="N438" s="60">
        <f t="shared" si="296"/>
        <v>0.09</v>
      </c>
      <c r="O438" s="60">
        <f t="shared" si="296"/>
        <v>0.09</v>
      </c>
      <c r="P438" s="60">
        <f t="shared" si="296"/>
        <v>0.09</v>
      </c>
      <c r="Q438" s="60">
        <f t="shared" si="296"/>
        <v>0.09</v>
      </c>
      <c r="R438" s="66"/>
      <c r="S438" s="66"/>
      <c r="T438" s="66"/>
      <c r="U438" s="66"/>
      <c r="V438" s="66"/>
      <c r="W438" s="66"/>
    </row>
    <row r="439" spans="1:17" ht="10.5" customHeight="1" hidden="1">
      <c r="A439" s="20"/>
      <c r="C439" s="26" t="s">
        <v>147</v>
      </c>
      <c r="D439" s="14">
        <v>1</v>
      </c>
      <c r="E439" s="14">
        <f>1/(1+D438)</f>
        <v>0.9174311926605504</v>
      </c>
      <c r="F439" s="14">
        <f aca="true" t="shared" si="297" ref="F439:Q439">E439/(1+E438)</f>
        <v>0.84167999326656</v>
      </c>
      <c r="G439" s="119">
        <f t="shared" si="297"/>
        <v>0.7721834800610641</v>
      </c>
      <c r="H439" s="14">
        <f t="shared" si="297"/>
        <v>0.7084252110651964</v>
      </c>
      <c r="I439" s="14">
        <f t="shared" si="297"/>
        <v>0.6499313862983452</v>
      </c>
      <c r="J439" s="14">
        <f t="shared" si="297"/>
        <v>0.5962673268792158</v>
      </c>
      <c r="K439" s="14">
        <f t="shared" si="297"/>
        <v>0.5470342448433172</v>
      </c>
      <c r="L439" s="14">
        <f t="shared" si="297"/>
        <v>0.501866279672768</v>
      </c>
      <c r="M439" s="119">
        <f t="shared" si="297"/>
        <v>0.4604277795163009</v>
      </c>
      <c r="N439" s="14">
        <f t="shared" si="297"/>
        <v>0.42241080689568883</v>
      </c>
      <c r="O439" s="14">
        <f t="shared" si="297"/>
        <v>0.38753285036301727</v>
      </c>
      <c r="P439" s="14">
        <f t="shared" si="297"/>
        <v>0.35553472510368556</v>
      </c>
      <c r="Q439" s="14">
        <f t="shared" si="297"/>
        <v>0.3261786468841152</v>
      </c>
    </row>
    <row r="440" spans="1:17" ht="10.5" customHeight="1" hidden="1">
      <c r="A440" s="54"/>
      <c r="B440" s="51"/>
      <c r="C440" s="51" t="s">
        <v>82</v>
      </c>
      <c r="D440" s="51"/>
      <c r="E440" s="51">
        <f aca="true" t="shared" si="298" ref="E440:P440">E430</f>
        <v>118</v>
      </c>
      <c r="F440" s="51">
        <f t="shared" si="298"/>
        <v>-152</v>
      </c>
      <c r="G440" s="120">
        <f t="shared" si="298"/>
        <v>150.99999999999997</v>
      </c>
      <c r="H440" s="51">
        <f t="shared" si="298"/>
        <v>150.03000000000006</v>
      </c>
      <c r="I440" s="51">
        <f t="shared" si="298"/>
        <v>154.53789999999967</v>
      </c>
      <c r="J440" s="51">
        <f t="shared" si="298"/>
        <v>158.91928366666644</v>
      </c>
      <c r="K440" s="51">
        <f t="shared" si="298"/>
        <v>163.68686217666627</v>
      </c>
      <c r="L440" s="51">
        <f t="shared" si="298"/>
        <v>168.59746804196698</v>
      </c>
      <c r="M440" s="120">
        <f t="shared" si="298"/>
        <v>173.65539208322497</v>
      </c>
      <c r="N440" s="51">
        <f t="shared" si="298"/>
        <v>178.86505384572226</v>
      </c>
      <c r="O440" s="51">
        <f t="shared" si="298"/>
        <v>184.23100546109404</v>
      </c>
      <c r="P440" s="51">
        <f t="shared" si="298"/>
        <v>189.75793562492797</v>
      </c>
      <c r="Q440" s="1">
        <f>P440*(1+O$8)+P440*(1+O$8)*(1+O$8)/(P438-O$8)</f>
        <v>3550.6872387684443</v>
      </c>
    </row>
    <row r="441" spans="1:17" ht="10.5" customHeight="1" hidden="1">
      <c r="A441" s="20"/>
      <c r="C441" s="26" t="s">
        <v>127</v>
      </c>
      <c r="D441" s="1"/>
      <c r="E441" s="1">
        <f aca="true" t="shared" si="299" ref="E441:Q441">E440*E439</f>
        <v>108.25688073394495</v>
      </c>
      <c r="F441" s="1">
        <f t="shared" si="299"/>
        <v>-127.93535897651711</v>
      </c>
      <c r="G441" s="36">
        <f t="shared" si="299"/>
        <v>116.59970548922065</v>
      </c>
      <c r="H441" s="1">
        <f t="shared" si="299"/>
        <v>106.28503441611146</v>
      </c>
      <c r="I441" s="1">
        <f t="shared" si="299"/>
        <v>100.43903158263483</v>
      </c>
      <c r="J441" s="1">
        <f t="shared" si="299"/>
        <v>94.75837646148302</v>
      </c>
      <c r="K441" s="1">
        <f t="shared" si="299"/>
        <v>89.54231904158478</v>
      </c>
      <c r="L441" s="1">
        <f t="shared" si="299"/>
        <v>84.61338404847037</v>
      </c>
      <c r="M441" s="36">
        <f t="shared" si="299"/>
        <v>79.95576657791189</v>
      </c>
      <c r="N441" s="1">
        <f t="shared" si="299"/>
        <v>75.55453172041237</v>
      </c>
      <c r="O441" s="1">
        <f t="shared" si="299"/>
        <v>71.39556667158237</v>
      </c>
      <c r="P441" s="1">
        <f t="shared" si="299"/>
        <v>67.46553547865163</v>
      </c>
      <c r="Q441" s="1">
        <f t="shared" si="299"/>
        <v>1158.1583590501864</v>
      </c>
    </row>
    <row r="442" spans="1:17" ht="10.5" customHeight="1">
      <c r="A442" s="20">
        <v>52</v>
      </c>
      <c r="B442" s="4" t="s">
        <v>167</v>
      </c>
      <c r="C442" s="51" t="s">
        <v>168</v>
      </c>
      <c r="D442" s="22">
        <f>SUM(E441:$Q441)/D439</f>
        <v>2025.0891322956777</v>
      </c>
      <c r="E442" s="22">
        <f>SUM(F441:$Q441)/E439</f>
        <v>2089.3471542022885</v>
      </c>
      <c r="F442" s="22">
        <f>SUM(G441:$Q441)/F439</f>
        <v>2429.388398080495</v>
      </c>
      <c r="G442" s="111">
        <f>SUM(H441:$Q441)/G439</f>
        <v>2497.03335390774</v>
      </c>
      <c r="H442" s="22">
        <f>SUM(I441:$Q441)/H439</f>
        <v>2571.7363557594363</v>
      </c>
      <c r="I442" s="22">
        <f>SUM(J441:$Q441)/I439</f>
        <v>2648.6547277777863</v>
      </c>
      <c r="J442" s="22">
        <f>SUM(K441:$Q441)/J439</f>
        <v>2728.1143696111208</v>
      </c>
      <c r="K442" s="22">
        <f>SUM(L441:$Q441)/K439</f>
        <v>2809.957800699455</v>
      </c>
      <c r="L442" s="22">
        <f>SUM(M441:$Q441)/L439</f>
        <v>2894.25653472044</v>
      </c>
      <c r="M442" s="111">
        <f>SUM(N441:$Q441)/M439</f>
        <v>2981.0842307620546</v>
      </c>
      <c r="N442" s="22">
        <f>SUM(O441:$Q441)/N439</f>
        <v>3070.516757684918</v>
      </c>
      <c r="O442" s="22">
        <f>SUM(P441:$Q441)/O439</f>
        <v>3162.6322604154666</v>
      </c>
      <c r="P442" s="22">
        <f>SUM(Q441:$Q441)/P439</f>
        <v>3257.5112282279306</v>
      </c>
      <c r="Q442" s="22"/>
    </row>
    <row r="443" spans="1:17" ht="12.75" customHeight="1">
      <c r="A443" s="20">
        <v>53</v>
      </c>
      <c r="B443" s="4" t="s">
        <v>138</v>
      </c>
      <c r="C443" s="47" t="s">
        <v>169</v>
      </c>
      <c r="D443" s="46">
        <f>D442-D$144</f>
        <v>1025.089132295677</v>
      </c>
      <c r="E443" s="46">
        <f aca="true" t="shared" si="300" ref="E443:P443">E442-E$144</f>
        <v>1089.3471542022876</v>
      </c>
      <c r="F443" s="46">
        <f t="shared" si="300"/>
        <v>1329.388398080494</v>
      </c>
      <c r="G443" s="46">
        <f t="shared" si="300"/>
        <v>1397.033353907739</v>
      </c>
      <c r="H443" s="46">
        <f t="shared" si="300"/>
        <v>1438.7363557594351</v>
      </c>
      <c r="I443" s="46">
        <f t="shared" si="300"/>
        <v>1481.664727777785</v>
      </c>
      <c r="J443" s="46">
        <f t="shared" si="300"/>
        <v>1526.114669611119</v>
      </c>
      <c r="K443" s="46">
        <f t="shared" si="300"/>
        <v>1571.8981096994535</v>
      </c>
      <c r="L443" s="46">
        <f t="shared" si="300"/>
        <v>1619.055052990438</v>
      </c>
      <c r="M443" s="46">
        <f t="shared" si="300"/>
        <v>1667.6267045801526</v>
      </c>
      <c r="N443" s="46">
        <f t="shared" si="300"/>
        <v>1717.6555057175585</v>
      </c>
      <c r="O443" s="46">
        <f t="shared" si="300"/>
        <v>1769.185170889086</v>
      </c>
      <c r="P443" s="46">
        <f t="shared" si="300"/>
        <v>1822.2607260157586</v>
      </c>
      <c r="Q443" s="24"/>
    </row>
    <row r="444" spans="1:17" s="82" customFormat="1" ht="12.75" customHeight="1">
      <c r="A444" s="65"/>
      <c r="C444" s="66"/>
      <c r="D444" s="67"/>
      <c r="E444" s="67"/>
      <c r="F444" s="67"/>
      <c r="G444" s="118"/>
      <c r="H444" s="67"/>
      <c r="I444" s="67"/>
      <c r="J444" s="67"/>
      <c r="K444" s="67"/>
      <c r="L444" s="67"/>
      <c r="M444" s="67"/>
      <c r="N444" s="67"/>
      <c r="O444" s="67"/>
      <c r="P444" s="67"/>
      <c r="Q444" s="84"/>
    </row>
    <row r="445" spans="1:17" s="82" customFormat="1" ht="12.75" customHeight="1">
      <c r="A445" s="65"/>
      <c r="C445" s="66"/>
      <c r="D445" s="67"/>
      <c r="E445" s="67"/>
      <c r="F445" s="67"/>
      <c r="G445" s="118"/>
      <c r="H445" s="67"/>
      <c r="I445" s="67"/>
      <c r="J445" s="67"/>
      <c r="K445" s="67"/>
      <c r="L445" s="67"/>
      <c r="M445" s="67"/>
      <c r="N445" s="67"/>
      <c r="O445" s="67"/>
      <c r="P445" s="67"/>
      <c r="Q445" s="84"/>
    </row>
    <row r="446" spans="1:9" ht="15.75" customHeight="1" thickBot="1">
      <c r="A446" s="20"/>
      <c r="B446" s="27"/>
      <c r="C446" s="27"/>
      <c r="D446" s="27"/>
      <c r="E446" s="27"/>
      <c r="F446" s="27"/>
      <c r="G446" s="32"/>
      <c r="H446" s="16"/>
      <c r="I446" s="134" t="s">
        <v>222</v>
      </c>
    </row>
    <row r="447" spans="1:15" ht="12.75" customHeight="1" thickBot="1">
      <c r="A447" s="20"/>
      <c r="B447" s="27"/>
      <c r="C447" s="27"/>
      <c r="D447" s="27"/>
      <c r="E447" s="27"/>
      <c r="F447" s="27"/>
      <c r="G447" s="32"/>
      <c r="H447" s="16"/>
      <c r="N447" s="162" t="s">
        <v>45</v>
      </c>
      <c r="O447" s="163">
        <v>0.05</v>
      </c>
    </row>
    <row r="448" spans="1:17" ht="12" customHeight="1" thickBot="1">
      <c r="A448" s="20"/>
      <c r="B448"/>
      <c r="C448"/>
      <c r="D448" s="127">
        <v>0</v>
      </c>
      <c r="E448" s="127">
        <v>1</v>
      </c>
      <c r="F448" s="127">
        <f aca="true" t="shared" si="301" ref="F448:Q448">E448+1</f>
        <v>2</v>
      </c>
      <c r="G448" s="137">
        <f t="shared" si="301"/>
        <v>3</v>
      </c>
      <c r="H448" s="127">
        <f t="shared" si="301"/>
        <v>4</v>
      </c>
      <c r="I448" s="127">
        <f t="shared" si="301"/>
        <v>5</v>
      </c>
      <c r="J448" s="127">
        <f t="shared" si="301"/>
        <v>6</v>
      </c>
      <c r="K448" s="127">
        <f t="shared" si="301"/>
        <v>7</v>
      </c>
      <c r="L448" s="127">
        <f t="shared" si="301"/>
        <v>8</v>
      </c>
      <c r="M448" s="137">
        <f t="shared" si="301"/>
        <v>9</v>
      </c>
      <c r="N448" s="127">
        <f t="shared" si="301"/>
        <v>10</v>
      </c>
      <c r="O448" s="127">
        <f t="shared" si="301"/>
        <v>11</v>
      </c>
      <c r="P448" s="127">
        <f t="shared" si="301"/>
        <v>12</v>
      </c>
      <c r="Q448" s="127">
        <f t="shared" si="301"/>
        <v>13</v>
      </c>
    </row>
    <row r="449" spans="1:17" ht="12" customHeight="1">
      <c r="A449" s="54">
        <v>27</v>
      </c>
      <c r="B449" s="51"/>
      <c r="C449" s="47" t="s">
        <v>81</v>
      </c>
      <c r="D449" s="51"/>
      <c r="E449" s="72">
        <f aca="true" t="shared" si="302" ref="E449:Q449">E55</f>
        <v>68</v>
      </c>
      <c r="F449" s="72">
        <f t="shared" si="302"/>
        <v>-102</v>
      </c>
      <c r="G449" s="73">
        <f t="shared" si="302"/>
        <v>96</v>
      </c>
      <c r="H449" s="72">
        <f t="shared" si="302"/>
        <v>128.03000000000003</v>
      </c>
      <c r="I449" s="72">
        <f t="shared" si="302"/>
        <v>131.87789999999967</v>
      </c>
      <c r="J449" s="72">
        <f t="shared" si="302"/>
        <v>135.57948366666653</v>
      </c>
      <c r="K449" s="72">
        <f t="shared" si="302"/>
        <v>139.64686817666637</v>
      </c>
      <c r="L449" s="72">
        <f t="shared" si="302"/>
        <v>143.83627422196707</v>
      </c>
      <c r="M449" s="72">
        <f t="shared" si="302"/>
        <v>148.15136244862515</v>
      </c>
      <c r="N449" s="72">
        <f t="shared" si="302"/>
        <v>152.59590332208427</v>
      </c>
      <c r="O449" s="72">
        <f t="shared" si="302"/>
        <v>157.17378042174698</v>
      </c>
      <c r="P449" s="72">
        <f t="shared" si="302"/>
        <v>161.88899383440037</v>
      </c>
      <c r="Q449" s="72">
        <f t="shared" si="302"/>
        <v>166.74566364943018</v>
      </c>
    </row>
    <row r="450" spans="1:23" s="7" customFormat="1" ht="12" customHeight="1">
      <c r="A450" s="54">
        <v>28</v>
      </c>
      <c r="B450" s="47"/>
      <c r="C450" s="47" t="s">
        <v>82</v>
      </c>
      <c r="D450" s="47"/>
      <c r="E450" s="72">
        <f aca="true" t="shared" si="303" ref="E450:Q450">E56</f>
        <v>110</v>
      </c>
      <c r="F450" s="72">
        <f t="shared" si="303"/>
        <v>-160</v>
      </c>
      <c r="G450" s="73">
        <f t="shared" si="303"/>
        <v>142.2</v>
      </c>
      <c r="H450" s="72">
        <f t="shared" si="303"/>
        <v>141.23000000000002</v>
      </c>
      <c r="I450" s="72">
        <f t="shared" si="303"/>
        <v>145.47389999999967</v>
      </c>
      <c r="J450" s="72">
        <f t="shared" si="303"/>
        <v>149.58336366666646</v>
      </c>
      <c r="K450" s="72">
        <f t="shared" si="303"/>
        <v>154.07086457666628</v>
      </c>
      <c r="L450" s="72">
        <f t="shared" si="303"/>
        <v>158.69299051396695</v>
      </c>
      <c r="M450" s="72">
        <f t="shared" si="303"/>
        <v>163.45378022938502</v>
      </c>
      <c r="N450" s="72">
        <f t="shared" si="303"/>
        <v>168.35739363626706</v>
      </c>
      <c r="O450" s="72">
        <f t="shared" si="303"/>
        <v>173.40811544535524</v>
      </c>
      <c r="P450" s="72">
        <f t="shared" si="303"/>
        <v>178.61035890871696</v>
      </c>
      <c r="Q450" s="72">
        <f t="shared" si="303"/>
        <v>183.96866967597617</v>
      </c>
      <c r="R450" s="66"/>
      <c r="S450" s="66"/>
      <c r="T450" s="66"/>
      <c r="U450" s="66"/>
      <c r="V450" s="66"/>
      <c r="W450" s="66"/>
    </row>
    <row r="451" spans="1:23" s="7" customFormat="1" ht="12" customHeight="1">
      <c r="A451" s="54">
        <v>29</v>
      </c>
      <c r="B451" s="47"/>
      <c r="C451" s="47" t="s">
        <v>83</v>
      </c>
      <c r="D451" s="47"/>
      <c r="E451" s="72">
        <f aca="true" t="shared" si="304" ref="E451:Q451">E57</f>
        <v>60</v>
      </c>
      <c r="F451" s="72">
        <f t="shared" si="304"/>
        <v>-40</v>
      </c>
      <c r="G451" s="73">
        <f t="shared" si="304"/>
        <v>66</v>
      </c>
      <c r="H451" s="72">
        <f t="shared" si="304"/>
        <v>33</v>
      </c>
      <c r="I451" s="72">
        <f t="shared" si="304"/>
        <v>33.989999999999995</v>
      </c>
      <c r="J451" s="72">
        <f t="shared" si="304"/>
        <v>35.00969999999994</v>
      </c>
      <c r="K451" s="72">
        <f t="shared" si="304"/>
        <v>36.059990999999926</v>
      </c>
      <c r="L451" s="72">
        <f t="shared" si="304"/>
        <v>37.14179072999987</v>
      </c>
      <c r="M451" s="72">
        <f t="shared" si="304"/>
        <v>38.25604445189987</v>
      </c>
      <c r="N451" s="72">
        <f t="shared" si="304"/>
        <v>39.403725785457</v>
      </c>
      <c r="O451" s="72">
        <f t="shared" si="304"/>
        <v>40.585837559020675</v>
      </c>
      <c r="P451" s="72">
        <f t="shared" si="304"/>
        <v>41.803412685791415</v>
      </c>
      <c r="Q451" s="72">
        <f t="shared" si="304"/>
        <v>1521.3655323449022</v>
      </c>
      <c r="R451" s="66"/>
      <c r="S451" s="66"/>
      <c r="T451" s="66"/>
      <c r="U451" s="66"/>
      <c r="V451" s="66"/>
      <c r="W451" s="66"/>
    </row>
    <row r="452" spans="1:23" s="7" customFormat="1" ht="12" customHeight="1">
      <c r="A452" s="54">
        <v>30</v>
      </c>
      <c r="B452" s="47"/>
      <c r="C452" s="47" t="s">
        <v>84</v>
      </c>
      <c r="D452" s="76"/>
      <c r="E452" s="72">
        <f aca="true" t="shared" si="305" ref="E452:Q452">E58</f>
        <v>128</v>
      </c>
      <c r="F452" s="72">
        <f t="shared" si="305"/>
        <v>-142</v>
      </c>
      <c r="G452" s="73">
        <f t="shared" si="305"/>
        <v>162</v>
      </c>
      <c r="H452" s="72">
        <f t="shared" si="305"/>
        <v>161.03000000000003</v>
      </c>
      <c r="I452" s="72">
        <f t="shared" si="305"/>
        <v>165.86789999999968</v>
      </c>
      <c r="J452" s="72">
        <f t="shared" si="305"/>
        <v>170.5891836666665</v>
      </c>
      <c r="K452" s="72">
        <f t="shared" si="305"/>
        <v>175.70685917666628</v>
      </c>
      <c r="L452" s="72">
        <f t="shared" si="305"/>
        <v>180.97806495196693</v>
      </c>
      <c r="M452" s="72">
        <f t="shared" si="305"/>
        <v>186.40740690052502</v>
      </c>
      <c r="N452" s="72">
        <f t="shared" si="305"/>
        <v>191.99962910754127</v>
      </c>
      <c r="O452" s="72">
        <f t="shared" si="305"/>
        <v>197.75961798076764</v>
      </c>
      <c r="P452" s="72">
        <f t="shared" si="305"/>
        <v>203.69240652019178</v>
      </c>
      <c r="Q452" s="72">
        <f t="shared" si="305"/>
        <v>209.80317871579754</v>
      </c>
      <c r="R452" s="66"/>
      <c r="S452" s="66"/>
      <c r="T452" s="66"/>
      <c r="U452" s="66"/>
      <c r="V452" s="66"/>
      <c r="W452" s="66"/>
    </row>
    <row r="453" spans="1:23" s="7" customFormat="1" ht="12" customHeight="1">
      <c r="A453" s="65"/>
      <c r="B453" s="66"/>
      <c r="C453" s="66"/>
      <c r="D453" s="113"/>
      <c r="E453" s="74"/>
      <c r="F453" s="74"/>
      <c r="G453" s="75"/>
      <c r="H453" s="74"/>
      <c r="I453" s="74"/>
      <c r="J453" s="74"/>
      <c r="K453" s="74"/>
      <c r="L453" s="74"/>
      <c r="M453" s="75"/>
      <c r="N453" s="74"/>
      <c r="O453" s="74"/>
      <c r="P453" s="74"/>
      <c r="Q453" s="74"/>
      <c r="R453" s="66"/>
      <c r="S453" s="66"/>
      <c r="T453" s="66"/>
      <c r="U453" s="66"/>
      <c r="V453" s="66"/>
      <c r="W453" s="66"/>
    </row>
    <row r="454" spans="1:17" ht="12.75" customHeight="1">
      <c r="A454" s="20">
        <v>42</v>
      </c>
      <c r="C454" s="26" t="s">
        <v>137</v>
      </c>
      <c r="D454" s="83">
        <f aca="true" t="shared" si="306" ref="D454:P454">D151</f>
        <v>452.6606740080724</v>
      </c>
      <c r="E454" s="83">
        <f t="shared" si="306"/>
        <v>466.4001346687989</v>
      </c>
      <c r="F454" s="83">
        <f t="shared" si="306"/>
        <v>481.376146788991</v>
      </c>
      <c r="G454" s="36">
        <f t="shared" si="306"/>
        <v>495.00000000000017</v>
      </c>
      <c r="H454" s="83">
        <f t="shared" si="306"/>
        <v>509.8500000000002</v>
      </c>
      <c r="I454" s="83">
        <f t="shared" si="306"/>
        <v>525.1455000000002</v>
      </c>
      <c r="J454" s="83">
        <f t="shared" si="306"/>
        <v>540.8998650000003</v>
      </c>
      <c r="K454" s="83">
        <f t="shared" si="306"/>
        <v>557.1268609500003</v>
      </c>
      <c r="L454" s="83">
        <f t="shared" si="306"/>
        <v>573.8406667785005</v>
      </c>
      <c r="M454" s="83">
        <f t="shared" si="306"/>
        <v>591.0558867818555</v>
      </c>
      <c r="N454" s="83">
        <f t="shared" si="306"/>
        <v>608.7875633853113</v>
      </c>
      <c r="O454" s="83">
        <f t="shared" si="306"/>
        <v>627.0511902868706</v>
      </c>
      <c r="P454" s="83">
        <f t="shared" si="306"/>
        <v>645.8627259954767</v>
      </c>
      <c r="Q454" s="83"/>
    </row>
    <row r="455" spans="1:17" ht="12.75" customHeight="1">
      <c r="A455" s="20"/>
      <c r="C455" s="26" t="s">
        <v>223</v>
      </c>
      <c r="D455" s="83">
        <f>D161-D465</f>
        <v>150.8868913360243</v>
      </c>
      <c r="E455" s="83">
        <f aca="true" t="shared" si="307" ref="E455:P455">E161-E465</f>
        <v>155.4667115562661</v>
      </c>
      <c r="F455" s="83">
        <f t="shared" si="307"/>
        <v>160.4587155963302</v>
      </c>
      <c r="G455" s="36">
        <f t="shared" si="307"/>
        <v>165</v>
      </c>
      <c r="H455" s="83">
        <f t="shared" si="307"/>
        <v>169.95000000000005</v>
      </c>
      <c r="I455" s="83">
        <f t="shared" si="307"/>
        <v>175.04849999999988</v>
      </c>
      <c r="J455" s="83">
        <f t="shared" si="307"/>
        <v>180.29995499999973</v>
      </c>
      <c r="K455" s="83">
        <f t="shared" si="307"/>
        <v>185.70895364999978</v>
      </c>
      <c r="L455" s="83">
        <f t="shared" si="307"/>
        <v>191.28022225949985</v>
      </c>
      <c r="M455" s="83">
        <f t="shared" si="307"/>
        <v>197.01862892728445</v>
      </c>
      <c r="N455" s="83">
        <f t="shared" si="307"/>
        <v>202.92918779510364</v>
      </c>
      <c r="O455" s="83">
        <f t="shared" si="307"/>
        <v>209.01706342895613</v>
      </c>
      <c r="P455" s="83">
        <f t="shared" si="307"/>
        <v>215.28757533182534</v>
      </c>
      <c r="Q455" s="83"/>
    </row>
    <row r="456" spans="1:17" ht="12.75" customHeight="1">
      <c r="A456" s="20"/>
      <c r="C456" s="26" t="s">
        <v>320</v>
      </c>
      <c r="D456" s="83">
        <f aca="true" t="shared" si="308" ref="D456:I456">D454-D455</f>
        <v>301.7737826720481</v>
      </c>
      <c r="E456" s="83">
        <f t="shared" si="308"/>
        <v>310.9334231125328</v>
      </c>
      <c r="F456" s="83">
        <f t="shared" si="308"/>
        <v>320.9174311926608</v>
      </c>
      <c r="G456" s="83">
        <f t="shared" si="308"/>
        <v>330.00000000000017</v>
      </c>
      <c r="H456" s="83">
        <f t="shared" si="308"/>
        <v>339.90000000000015</v>
      </c>
      <c r="I456" s="83">
        <f t="shared" si="308"/>
        <v>350.0970000000003</v>
      </c>
      <c r="J456" s="83"/>
      <c r="K456" s="83"/>
      <c r="L456" s="83"/>
      <c r="M456" s="83"/>
      <c r="N456" s="83"/>
      <c r="O456" s="83"/>
      <c r="P456" s="83"/>
      <c r="Q456" s="83"/>
    </row>
    <row r="457" spans="1:17" ht="12" customHeight="1">
      <c r="A457" s="20">
        <v>43</v>
      </c>
      <c r="C457" s="26" t="s">
        <v>224</v>
      </c>
      <c r="D457" s="1">
        <f>D137-D455+D454</f>
        <v>2192.741233780149</v>
      </c>
      <c r="E457" s="1">
        <f aca="true" t="shared" si="309" ref="E457:P457">E137-E455+E454</f>
        <v>2262.0879448203627</v>
      </c>
      <c r="F457" s="1">
        <f t="shared" si="309"/>
        <v>2607.6758598541956</v>
      </c>
      <c r="G457" s="36">
        <f t="shared" si="309"/>
        <v>2680.3666872410736</v>
      </c>
      <c r="H457" s="1">
        <f t="shared" si="309"/>
        <v>2760.56968909277</v>
      </c>
      <c r="I457" s="1">
        <f t="shared" si="309"/>
        <v>2843.15306111112</v>
      </c>
      <c r="J457" s="1">
        <f t="shared" si="309"/>
        <v>2928.4476529444546</v>
      </c>
      <c r="K457" s="1">
        <f t="shared" si="309"/>
        <v>3016.301082532789</v>
      </c>
      <c r="L457" s="1">
        <f t="shared" si="309"/>
        <v>3106.7901150087746</v>
      </c>
      <c r="M457" s="1">
        <f t="shared" si="309"/>
        <v>3199.993818459039</v>
      </c>
      <c r="N457" s="1">
        <f t="shared" si="309"/>
        <v>3295.9936330128116</v>
      </c>
      <c r="O457" s="1">
        <f t="shared" si="309"/>
        <v>3394.8734420031974</v>
      </c>
      <c r="P457" s="1">
        <f t="shared" si="309"/>
        <v>3496.7196452632934</v>
      </c>
      <c r="Q457" s="1"/>
    </row>
    <row r="458" spans="1:23" s="78" customFormat="1" ht="12" customHeight="1" thickBot="1">
      <c r="A458" s="77">
        <v>44</v>
      </c>
      <c r="B458" s="78" t="s">
        <v>138</v>
      </c>
      <c r="C458" s="91" t="s">
        <v>225</v>
      </c>
      <c r="D458" s="144">
        <f>D457-D144</f>
        <v>1192.7412337801481</v>
      </c>
      <c r="E458" s="144">
        <f aca="true" t="shared" si="310" ref="E458:P458">E457-E144</f>
        <v>1262.0879448203618</v>
      </c>
      <c r="F458" s="144">
        <f t="shared" si="310"/>
        <v>1507.6758598541946</v>
      </c>
      <c r="G458" s="145">
        <f t="shared" si="310"/>
        <v>1580.3666872410724</v>
      </c>
      <c r="H458" s="144">
        <f t="shared" si="310"/>
        <v>1627.569689092769</v>
      </c>
      <c r="I458" s="144">
        <f t="shared" si="310"/>
        <v>1676.1630611111189</v>
      </c>
      <c r="J458" s="144">
        <f t="shared" si="310"/>
        <v>1726.447952944453</v>
      </c>
      <c r="K458" s="144">
        <f t="shared" si="310"/>
        <v>1778.2413915327875</v>
      </c>
      <c r="L458" s="144">
        <f t="shared" si="310"/>
        <v>1831.5886332787727</v>
      </c>
      <c r="M458" s="144">
        <f t="shared" si="310"/>
        <v>1886.5362922771371</v>
      </c>
      <c r="N458" s="144">
        <f t="shared" si="310"/>
        <v>1943.1323810454521</v>
      </c>
      <c r="O458" s="144">
        <f t="shared" si="310"/>
        <v>2001.4263524768169</v>
      </c>
      <c r="P458" s="144">
        <f t="shared" si="310"/>
        <v>2061.469143051121</v>
      </c>
      <c r="Q458" s="93"/>
      <c r="R458" s="82"/>
      <c r="S458" s="82"/>
      <c r="T458" s="82"/>
      <c r="U458" s="82"/>
      <c r="V458" s="82"/>
      <c r="W458" s="82"/>
    </row>
    <row r="459" spans="1:23" s="7" customFormat="1" ht="12" customHeight="1">
      <c r="A459" s="65"/>
      <c r="B459" s="66"/>
      <c r="C459" s="66"/>
      <c r="D459" s="113"/>
      <c r="E459" s="74"/>
      <c r="F459" s="74"/>
      <c r="G459" s="75"/>
      <c r="H459" s="74"/>
      <c r="I459" s="74"/>
      <c r="J459" s="74"/>
      <c r="K459" s="74"/>
      <c r="L459" s="74"/>
      <c r="M459" s="75"/>
      <c r="N459" s="74"/>
      <c r="O459" s="74"/>
      <c r="P459" s="74"/>
      <c r="Q459" s="74"/>
      <c r="R459" s="66"/>
      <c r="S459" s="66"/>
      <c r="T459" s="66"/>
      <c r="U459" s="66"/>
      <c r="V459" s="66"/>
      <c r="W459" s="66"/>
    </row>
    <row r="460" spans="1:17" ht="12" customHeight="1">
      <c r="A460" s="20">
        <v>47</v>
      </c>
      <c r="C460" s="7" t="s">
        <v>226</v>
      </c>
      <c r="D460" s="14">
        <f>D130*(D144+D466)/D466-D147*D144/D466</f>
        <v>1.6288036153684642</v>
      </c>
      <c r="E460" s="14">
        <f aca="true" t="shared" si="311" ref="E460:P460">E130*(E144+E466)/E466-E147*E144/E466</f>
        <v>1.594253358553988</v>
      </c>
      <c r="F460" s="14">
        <f t="shared" si="311"/>
        <v>1.5471998471075772</v>
      </c>
      <c r="G460" s="119">
        <f t="shared" si="311"/>
        <v>1.5220307455608582</v>
      </c>
      <c r="H460" s="14">
        <f t="shared" si="311"/>
        <v>1.5220974596016612</v>
      </c>
      <c r="I460" s="14">
        <f t="shared" si="311"/>
        <v>1.5221702591511634</v>
      </c>
      <c r="J460" s="14">
        <f t="shared" si="311"/>
        <v>1.5221702591511637</v>
      </c>
      <c r="K460" s="14">
        <f t="shared" si="311"/>
        <v>1.5221702591511632</v>
      </c>
      <c r="L460" s="14">
        <f t="shared" si="311"/>
        <v>1.5221702591511632</v>
      </c>
      <c r="M460" s="14">
        <f t="shared" si="311"/>
        <v>1.5221702591511628</v>
      </c>
      <c r="N460" s="14">
        <f t="shared" si="311"/>
        <v>1.5221702591511628</v>
      </c>
      <c r="O460" s="14">
        <f t="shared" si="311"/>
        <v>1.5221702591511628</v>
      </c>
      <c r="P460" s="14">
        <f t="shared" si="311"/>
        <v>1.5221702591511626</v>
      </c>
      <c r="Q460" s="14"/>
    </row>
    <row r="461" spans="1:23" s="7" customFormat="1" ht="12" customHeight="1">
      <c r="A461" s="20">
        <v>48</v>
      </c>
      <c r="C461" s="7" t="s">
        <v>227</v>
      </c>
      <c r="D461" s="60">
        <f>D131+D132*D460</f>
        <v>0.11515214461473858</v>
      </c>
      <c r="E461" s="60">
        <f aca="true" t="shared" si="312" ref="E461:P461">E131+E132*E460</f>
        <v>0.11377013434215952</v>
      </c>
      <c r="F461" s="60">
        <f t="shared" si="312"/>
        <v>0.1118879938843031</v>
      </c>
      <c r="G461" s="59">
        <f t="shared" si="312"/>
        <v>0.11088122982243434</v>
      </c>
      <c r="H461" s="60">
        <f t="shared" si="312"/>
        <v>0.11088389838406645</v>
      </c>
      <c r="I461" s="60">
        <f t="shared" si="312"/>
        <v>0.11088681036604654</v>
      </c>
      <c r="J461" s="60">
        <f t="shared" si="312"/>
        <v>0.11088681036604656</v>
      </c>
      <c r="K461" s="60">
        <f t="shared" si="312"/>
        <v>0.11088681036604653</v>
      </c>
      <c r="L461" s="60">
        <f t="shared" si="312"/>
        <v>0.11088681036604653</v>
      </c>
      <c r="M461" s="60">
        <f t="shared" si="312"/>
        <v>0.11088681036604651</v>
      </c>
      <c r="N461" s="60">
        <f t="shared" si="312"/>
        <v>0.11088681036604651</v>
      </c>
      <c r="O461" s="60">
        <f t="shared" si="312"/>
        <v>0.11088681036604651</v>
      </c>
      <c r="P461" s="60">
        <f t="shared" si="312"/>
        <v>0.1108868103660465</v>
      </c>
      <c r="Q461" s="60">
        <f>P461</f>
        <v>0.1108868103660465</v>
      </c>
      <c r="R461" s="66"/>
      <c r="S461" s="66"/>
      <c r="T461" s="66"/>
      <c r="U461" s="66"/>
      <c r="V461" s="66"/>
      <c r="W461" s="66"/>
    </row>
    <row r="462" spans="1:17" ht="12" customHeight="1" hidden="1">
      <c r="A462" s="20"/>
      <c r="C462" s="26" t="s">
        <v>143</v>
      </c>
      <c r="D462" s="14">
        <v>1</v>
      </c>
      <c r="E462" s="14">
        <f>1/(1+D461)</f>
        <v>0.8967386242578396</v>
      </c>
      <c r="F462" s="55">
        <f aca="true" t="shared" si="313" ref="F462:Q462">E462/(1+E461)</f>
        <v>0.8051379693238874</v>
      </c>
      <c r="G462" s="117">
        <f t="shared" si="313"/>
        <v>0.7241178731602219</v>
      </c>
      <c r="H462" s="55">
        <f t="shared" si="313"/>
        <v>0.6518409472774749</v>
      </c>
      <c r="I462" s="55">
        <f t="shared" si="313"/>
        <v>0.5867768433998073</v>
      </c>
      <c r="J462" s="55">
        <f t="shared" si="313"/>
        <v>0.5282057883165067</v>
      </c>
      <c r="K462" s="55">
        <f t="shared" si="313"/>
        <v>0.4754811951925673</v>
      </c>
      <c r="L462" s="55">
        <f t="shared" si="313"/>
        <v>0.4280194802528012</v>
      </c>
      <c r="M462" s="117">
        <f t="shared" si="313"/>
        <v>0.3852953120505276</v>
      </c>
      <c r="N462" s="55">
        <f t="shared" si="313"/>
        <v>0.34683579682035254</v>
      </c>
      <c r="O462" s="55">
        <f t="shared" si="313"/>
        <v>0.3122152442390303</v>
      </c>
      <c r="P462" s="55">
        <f t="shared" si="313"/>
        <v>0.28105045565907183</v>
      </c>
      <c r="Q462" s="55">
        <f t="shared" si="313"/>
        <v>0.25299648266276864</v>
      </c>
    </row>
    <row r="463" spans="1:17" ht="12" customHeight="1" hidden="1">
      <c r="A463" s="20"/>
      <c r="B463" s="51"/>
      <c r="C463" s="51" t="s">
        <v>81</v>
      </c>
      <c r="D463" s="51"/>
      <c r="E463" s="28">
        <f aca="true" t="shared" si="314" ref="E463:P463">E449</f>
        <v>68</v>
      </c>
      <c r="F463" s="28">
        <f t="shared" si="314"/>
        <v>-102</v>
      </c>
      <c r="G463" s="122">
        <f t="shared" si="314"/>
        <v>96</v>
      </c>
      <c r="H463" s="28">
        <f t="shared" si="314"/>
        <v>128.03000000000003</v>
      </c>
      <c r="I463" s="28">
        <f t="shared" si="314"/>
        <v>131.87789999999967</v>
      </c>
      <c r="J463" s="28">
        <f t="shared" si="314"/>
        <v>135.57948366666653</v>
      </c>
      <c r="K463" s="28">
        <f t="shared" si="314"/>
        <v>139.64686817666637</v>
      </c>
      <c r="L463" s="28">
        <f t="shared" si="314"/>
        <v>143.83627422196707</v>
      </c>
      <c r="M463" s="28">
        <f t="shared" si="314"/>
        <v>148.15136244862515</v>
      </c>
      <c r="N463" s="28">
        <f t="shared" si="314"/>
        <v>152.59590332208427</v>
      </c>
      <c r="O463" s="28">
        <f t="shared" si="314"/>
        <v>157.17378042174698</v>
      </c>
      <c r="P463" s="28">
        <f t="shared" si="314"/>
        <v>161.88899383440037</v>
      </c>
      <c r="Q463" s="1">
        <f>P463*(1+O$8)+P463*(1+O$8)*(1+O$8)/(P461-O$8)</f>
        <v>2290.058880992087</v>
      </c>
    </row>
    <row r="464" spans="1:17" ht="12" customHeight="1" hidden="1">
      <c r="A464" s="20"/>
      <c r="C464" s="26" t="s">
        <v>144</v>
      </c>
      <c r="D464" s="1"/>
      <c r="E464" s="1">
        <f aca="true" t="shared" si="315" ref="E464:Q464">E463*E462</f>
        <v>60.97822644953309</v>
      </c>
      <c r="F464" s="1">
        <f t="shared" si="315"/>
        <v>-82.12407287103652</v>
      </c>
      <c r="G464" s="36">
        <f t="shared" si="315"/>
        <v>69.5153158233813</v>
      </c>
      <c r="H464" s="1">
        <f t="shared" si="315"/>
        <v>83.45519647993513</v>
      </c>
      <c r="I464" s="1">
        <f t="shared" si="315"/>
        <v>77.38289787619526</v>
      </c>
      <c r="J464" s="1">
        <f t="shared" si="315"/>
        <v>71.61386804969653</v>
      </c>
      <c r="K464" s="1">
        <f t="shared" si="315"/>
        <v>66.39945978554022</v>
      </c>
      <c r="L464" s="1">
        <f t="shared" si="315"/>
        <v>61.56472733398573</v>
      </c>
      <c r="M464" s="36">
        <f t="shared" si="315"/>
        <v>57.08202542535384</v>
      </c>
      <c r="N464" s="1">
        <f t="shared" si="315"/>
        <v>52.92572172023658</v>
      </c>
      <c r="O464" s="1">
        <f t="shared" si="315"/>
        <v>49.07205024234745</v>
      </c>
      <c r="P464" s="1">
        <f t="shared" si="315"/>
        <v>45.4989754833469</v>
      </c>
      <c r="Q464" s="1">
        <f t="shared" si="315"/>
        <v>579.3768419816339</v>
      </c>
    </row>
    <row r="465" spans="1:17" ht="12" customHeight="1">
      <c r="A465" s="20">
        <v>49</v>
      </c>
      <c r="C465" s="56" t="s">
        <v>228</v>
      </c>
      <c r="D465" s="46">
        <f>SUM(E464:$Q464)/D462</f>
        <v>1192.7412337801493</v>
      </c>
      <c r="E465" s="46">
        <f>SUM(F464:$Q464)/E462</f>
        <v>1262.087944820363</v>
      </c>
      <c r="F465" s="46">
        <f>SUM(G464:$Q464)/F462</f>
        <v>1507.6758598541953</v>
      </c>
      <c r="G465" s="33">
        <f>SUM(H464:$Q464)/G462</f>
        <v>1580.3666872410731</v>
      </c>
      <c r="H465" s="46">
        <f>SUM(I464:$Q464)/H462</f>
        <v>1627.5696890927697</v>
      </c>
      <c r="I465" s="46">
        <f>SUM(J464:$Q464)/I462</f>
        <v>1676.16306111112</v>
      </c>
      <c r="J465" s="46">
        <f>SUM(K464:$Q464)/J462</f>
        <v>1726.4479529444543</v>
      </c>
      <c r="K465" s="46">
        <f>SUM(L464:$Q464)/K462</f>
        <v>1778.2413915327886</v>
      </c>
      <c r="L465" s="46">
        <f>SUM(M464:$Q464)/L462</f>
        <v>1831.5886332787725</v>
      </c>
      <c r="M465" s="33">
        <f>SUM(N464:$Q464)/M462</f>
        <v>1886.5362922771371</v>
      </c>
      <c r="N465" s="46">
        <f>SUM(O464:$Q464)/N462</f>
        <v>1943.132381045452</v>
      </c>
      <c r="O465" s="46">
        <f>SUM(P464:$Q464)/O462</f>
        <v>2001.4263524768166</v>
      </c>
      <c r="P465" s="46">
        <f>SUM(Q464:$Q464)/P462</f>
        <v>2061.469143051121</v>
      </c>
      <c r="Q465" s="46"/>
    </row>
    <row r="466" spans="1:17" ht="12.75" customHeight="1">
      <c r="A466" s="20">
        <v>50</v>
      </c>
      <c r="C466" s="106" t="s">
        <v>229</v>
      </c>
      <c r="D466" s="81">
        <f>D465</f>
        <v>1192.7412337801493</v>
      </c>
      <c r="E466" s="81">
        <f aca="true" t="shared" si="316" ref="E466:P466">D466*(1+D461)-E449</f>
        <v>1262.0879448203627</v>
      </c>
      <c r="F466" s="81">
        <f t="shared" si="316"/>
        <v>1507.6758598541956</v>
      </c>
      <c r="G466" s="121">
        <f t="shared" si="316"/>
        <v>1580.3666872410734</v>
      </c>
      <c r="H466" s="81">
        <f t="shared" si="316"/>
        <v>1627.5696890927702</v>
      </c>
      <c r="I466" s="81">
        <f t="shared" si="316"/>
        <v>1676.16306111112</v>
      </c>
      <c r="J466" s="81">
        <f t="shared" si="316"/>
        <v>1726.4479529444543</v>
      </c>
      <c r="K466" s="81">
        <f t="shared" si="316"/>
        <v>1778.2413915327888</v>
      </c>
      <c r="L466" s="81">
        <f t="shared" si="316"/>
        <v>1831.5886332787727</v>
      </c>
      <c r="M466" s="81">
        <f t="shared" si="316"/>
        <v>1886.5362922771371</v>
      </c>
      <c r="N466" s="81">
        <f t="shared" si="316"/>
        <v>1943.1323810454523</v>
      </c>
      <c r="O466" s="81">
        <f t="shared" si="316"/>
        <v>2001.426352476817</v>
      </c>
      <c r="P466" s="81">
        <f t="shared" si="316"/>
        <v>2061.4691430511216</v>
      </c>
      <c r="Q466" s="81"/>
    </row>
    <row r="467" spans="1:16" ht="12.75" customHeight="1">
      <c r="A467" s="20"/>
      <c r="D467" s="50"/>
      <c r="E467" s="50"/>
      <c r="F467" s="50"/>
      <c r="G467" s="199"/>
      <c r="H467" s="50"/>
      <c r="I467" s="50"/>
      <c r="J467" s="50"/>
      <c r="K467" s="50"/>
      <c r="L467" s="50"/>
      <c r="M467" s="38"/>
      <c r="N467" s="50"/>
      <c r="O467" s="50"/>
      <c r="P467" s="50"/>
    </row>
    <row r="468" spans="1:23" s="7" customFormat="1" ht="10.5" customHeight="1">
      <c r="A468" s="20">
        <v>51</v>
      </c>
      <c r="C468" s="7" t="s">
        <v>230</v>
      </c>
      <c r="D468" s="58">
        <f>(D466*D461+D144*D146-D140*D145*$F$1)/(D466+D144)</f>
        <v>0.08179109704204855</v>
      </c>
      <c r="E468" s="58">
        <f aca="true" t="shared" si="317" ref="E468:P468">(E466*E461+E144*E146-E140*E145*$F$1)/(E466+E144)</f>
        <v>0.08204274969007476</v>
      </c>
      <c r="F468" s="58">
        <f t="shared" si="317"/>
        <v>0.08240703175389787</v>
      </c>
      <c r="G468" s="170">
        <f t="shared" si="317"/>
        <v>0.08261295102112304</v>
      </c>
      <c r="H468" s="58">
        <f t="shared" si="317"/>
        <v>0.08261239443417122</v>
      </c>
      <c r="I468" s="58">
        <f t="shared" si="317"/>
        <v>0.08261178714318293</v>
      </c>
      <c r="J468" s="58">
        <f t="shared" si="317"/>
        <v>0.08261178714318294</v>
      </c>
      <c r="K468" s="58">
        <f t="shared" si="317"/>
        <v>0.08261178714318293</v>
      </c>
      <c r="L468" s="58">
        <f t="shared" si="317"/>
        <v>0.08261178714318293</v>
      </c>
      <c r="M468" s="58">
        <f t="shared" si="317"/>
        <v>0.08261178714318294</v>
      </c>
      <c r="N468" s="58">
        <f t="shared" si="317"/>
        <v>0.08261178714318294</v>
      </c>
      <c r="O468" s="58">
        <f t="shared" si="317"/>
        <v>0.08261178714318296</v>
      </c>
      <c r="P468" s="58">
        <f t="shared" si="317"/>
        <v>0.08261178714318294</v>
      </c>
      <c r="Q468" s="58">
        <f>P468</f>
        <v>0.08261178714318294</v>
      </c>
      <c r="R468" s="66"/>
      <c r="S468" s="66"/>
      <c r="T468" s="66"/>
      <c r="U468" s="66"/>
      <c r="V468" s="66"/>
      <c r="W468" s="66"/>
    </row>
    <row r="469" spans="1:17" ht="10.5" customHeight="1" hidden="1">
      <c r="A469" s="20"/>
      <c r="C469" s="26" t="s">
        <v>147</v>
      </c>
      <c r="D469" s="14">
        <v>1</v>
      </c>
      <c r="E469" s="14">
        <f>1/(1+D468)</f>
        <v>0.9243928913209855</v>
      </c>
      <c r="F469" s="14">
        <f aca="true" t="shared" si="318" ref="F469:Q469">E469/(1+E468)</f>
        <v>0.85430348439168</v>
      </c>
      <c r="G469" s="119">
        <f t="shared" si="318"/>
        <v>0.7892626889234023</v>
      </c>
      <c r="H469" s="14">
        <f t="shared" si="318"/>
        <v>0.7290349595198985</v>
      </c>
      <c r="I469" s="14">
        <f t="shared" si="318"/>
        <v>0.6734034851881865</v>
      </c>
      <c r="J469" s="14">
        <f t="shared" si="318"/>
        <v>0.6220175072776335</v>
      </c>
      <c r="K469" s="14">
        <f t="shared" si="318"/>
        <v>0.5745526833021332</v>
      </c>
      <c r="L469" s="14">
        <f t="shared" si="318"/>
        <v>0.530709798401765</v>
      </c>
      <c r="M469" s="119">
        <f t="shared" si="318"/>
        <v>0.4902124701618227</v>
      </c>
      <c r="N469" s="14">
        <f t="shared" si="318"/>
        <v>0.4528054063178131</v>
      </c>
      <c r="O469" s="14">
        <f t="shared" si="318"/>
        <v>0.4182527954112571</v>
      </c>
      <c r="P469" s="14">
        <f t="shared" si="318"/>
        <v>0.3863368202510991</v>
      </c>
      <c r="Q469" s="14">
        <f t="shared" si="318"/>
        <v>0.35685628480969367</v>
      </c>
    </row>
    <row r="470" spans="1:17" ht="10.5" customHeight="1" hidden="1">
      <c r="A470" s="54"/>
      <c r="B470" s="51"/>
      <c r="C470" s="51" t="s">
        <v>82</v>
      </c>
      <c r="D470" s="51"/>
      <c r="E470" s="51">
        <f aca="true" t="shared" si="319" ref="E470:P470">E450</f>
        <v>110</v>
      </c>
      <c r="F470" s="51">
        <f t="shared" si="319"/>
        <v>-160</v>
      </c>
      <c r="G470" s="120">
        <f t="shared" si="319"/>
        <v>142.2</v>
      </c>
      <c r="H470" s="51">
        <f t="shared" si="319"/>
        <v>141.23000000000002</v>
      </c>
      <c r="I470" s="51">
        <f t="shared" si="319"/>
        <v>145.47389999999967</v>
      </c>
      <c r="J470" s="51">
        <f t="shared" si="319"/>
        <v>149.58336366666646</v>
      </c>
      <c r="K470" s="51">
        <f t="shared" si="319"/>
        <v>154.07086457666628</v>
      </c>
      <c r="L470" s="51">
        <f t="shared" si="319"/>
        <v>158.69299051396695</v>
      </c>
      <c r="M470" s="120">
        <f t="shared" si="319"/>
        <v>163.45378022938502</v>
      </c>
      <c r="N470" s="51">
        <f t="shared" si="319"/>
        <v>168.35739363626706</v>
      </c>
      <c r="O470" s="51">
        <f t="shared" si="319"/>
        <v>173.40811544535524</v>
      </c>
      <c r="P470" s="51">
        <f t="shared" si="319"/>
        <v>178.61035890871696</v>
      </c>
      <c r="Q470" s="1">
        <f>P470*(1+O$8)+P470*(1+O$8)*(1+O$8)/(P468-O$8)</f>
        <v>3785.589904297169</v>
      </c>
    </row>
    <row r="471" spans="1:17" ht="10.5" customHeight="1" hidden="1">
      <c r="A471" s="20"/>
      <c r="C471" s="26" t="s">
        <v>127</v>
      </c>
      <c r="D471" s="1"/>
      <c r="E471" s="1">
        <f aca="true" t="shared" si="320" ref="E471:Q471">E470*E469</f>
        <v>101.6832180453084</v>
      </c>
      <c r="F471" s="1">
        <f t="shared" si="320"/>
        <v>-136.6885575026688</v>
      </c>
      <c r="G471" s="36">
        <f t="shared" si="320"/>
        <v>112.2331543649078</v>
      </c>
      <c r="H471" s="1">
        <f t="shared" si="320"/>
        <v>102.96160733299527</v>
      </c>
      <c r="I471" s="1">
        <f t="shared" si="320"/>
        <v>97.9626312639175</v>
      </c>
      <c r="J471" s="1">
        <f t="shared" si="320"/>
        <v>93.0434709981436</v>
      </c>
      <c r="K471" s="1">
        <f t="shared" si="320"/>
        <v>88.52182866120319</v>
      </c>
      <c r="L471" s="1">
        <f t="shared" si="320"/>
        <v>84.21992500344061</v>
      </c>
      <c r="M471" s="36">
        <f t="shared" si="320"/>
        <v>80.12708136353453</v>
      </c>
      <c r="N471" s="1">
        <f t="shared" si="320"/>
        <v>76.2331380320779</v>
      </c>
      <c r="O471" s="1">
        <f t="shared" si="320"/>
        <v>72.52842903201781</v>
      </c>
      <c r="P471" s="1">
        <f t="shared" si="320"/>
        <v>69.00375812470128</v>
      </c>
      <c r="Q471" s="1">
        <f t="shared" si="320"/>
        <v>1350.9115490605716</v>
      </c>
    </row>
    <row r="472" spans="1:17" ht="10.5" customHeight="1">
      <c r="A472" s="20">
        <v>52</v>
      </c>
      <c r="B472" s="4" t="s">
        <v>231</v>
      </c>
      <c r="C472" s="51" t="s">
        <v>232</v>
      </c>
      <c r="D472" s="22">
        <f>SUM(E471:$Q471)/D469</f>
        <v>2192.7412337801507</v>
      </c>
      <c r="E472" s="22">
        <f>SUM(F471:$Q471)/E469</f>
        <v>2262.087944820364</v>
      </c>
      <c r="F472" s="22">
        <f>SUM(G471:$Q471)/F469</f>
        <v>2607.6758598541974</v>
      </c>
      <c r="G472" s="111">
        <f>SUM(H471:$Q471)/G469</f>
        <v>2680.3666872410754</v>
      </c>
      <c r="H472" s="22">
        <f>SUM(I471:$Q471)/H469</f>
        <v>2760.5696890927725</v>
      </c>
      <c r="I472" s="22">
        <f>SUM(J471:$Q471)/I469</f>
        <v>2843.153061111122</v>
      </c>
      <c r="J472" s="22">
        <f>SUM(K471:$Q471)/J469</f>
        <v>2928.447652944456</v>
      </c>
      <c r="K472" s="22">
        <f>SUM(L471:$Q471)/K469</f>
        <v>3016.3010825327906</v>
      </c>
      <c r="L472" s="22">
        <f>SUM(M471:$Q471)/L469</f>
        <v>3106.7901150087746</v>
      </c>
      <c r="M472" s="111">
        <f>SUM(N471:$Q471)/M469</f>
        <v>3199.993818459039</v>
      </c>
      <c r="N472" s="22">
        <f>SUM(O471:$Q471)/N469</f>
        <v>3295.9936330128107</v>
      </c>
      <c r="O472" s="22">
        <f>SUM(P471:$Q471)/O469</f>
        <v>3394.873442003196</v>
      </c>
      <c r="P472" s="22">
        <f>SUM(Q471:$Q471)/P469</f>
        <v>3496.7196452632925</v>
      </c>
      <c r="Q472" s="22"/>
    </row>
    <row r="473" spans="1:17" ht="12.75" customHeight="1">
      <c r="A473" s="20">
        <v>53</v>
      </c>
      <c r="B473" s="4" t="s">
        <v>138</v>
      </c>
      <c r="C473" s="47" t="s">
        <v>233</v>
      </c>
      <c r="D473" s="46">
        <f>D472-D144</f>
        <v>1192.74123378015</v>
      </c>
      <c r="E473" s="46">
        <f aca="true" t="shared" si="321" ref="E473:P473">E472-E144</f>
        <v>1262.0879448203632</v>
      </c>
      <c r="F473" s="46">
        <f t="shared" si="321"/>
        <v>1507.6758598541965</v>
      </c>
      <c r="G473" s="33">
        <f t="shared" si="321"/>
        <v>1580.3666872410743</v>
      </c>
      <c r="H473" s="46">
        <f t="shared" si="321"/>
        <v>1627.5696890927713</v>
      </c>
      <c r="I473" s="46">
        <f t="shared" si="321"/>
        <v>1676.1630611111207</v>
      </c>
      <c r="J473" s="46">
        <f t="shared" si="321"/>
        <v>1726.4479529444543</v>
      </c>
      <c r="K473" s="46">
        <f t="shared" si="321"/>
        <v>1778.2413915327888</v>
      </c>
      <c r="L473" s="46">
        <f t="shared" si="321"/>
        <v>1831.5886332787727</v>
      </c>
      <c r="M473" s="46">
        <f t="shared" si="321"/>
        <v>1886.5362922771371</v>
      </c>
      <c r="N473" s="46">
        <f t="shared" si="321"/>
        <v>1943.1323810454512</v>
      </c>
      <c r="O473" s="46">
        <f t="shared" si="321"/>
        <v>2001.4263524768155</v>
      </c>
      <c r="P473" s="46">
        <f t="shared" si="321"/>
        <v>2061.46914305112</v>
      </c>
      <c r="Q473" s="24"/>
    </row>
    <row r="474" spans="1:17" ht="12.75" customHeight="1">
      <c r="A474" s="20">
        <v>54</v>
      </c>
      <c r="C474" s="85" t="s">
        <v>151</v>
      </c>
      <c r="D474" s="83">
        <f>D472</f>
        <v>2192.7412337801507</v>
      </c>
      <c r="E474" s="83">
        <f aca="true" t="shared" si="322" ref="E474:P474">D474*(1+D468)-E450</f>
        <v>2262.087944820364</v>
      </c>
      <c r="F474" s="83">
        <f t="shared" si="322"/>
        <v>2607.675859854197</v>
      </c>
      <c r="G474" s="36">
        <f t="shared" si="322"/>
        <v>2680.366687241075</v>
      </c>
      <c r="H474" s="83">
        <f t="shared" si="322"/>
        <v>2760.569689092772</v>
      </c>
      <c r="I474" s="83">
        <f t="shared" si="322"/>
        <v>2843.153061111122</v>
      </c>
      <c r="J474" s="83">
        <f t="shared" si="322"/>
        <v>2928.447652944456</v>
      </c>
      <c r="K474" s="83">
        <f t="shared" si="322"/>
        <v>3016.3010825327906</v>
      </c>
      <c r="L474" s="83">
        <f t="shared" si="322"/>
        <v>3106.7901150087746</v>
      </c>
      <c r="M474" s="36">
        <f t="shared" si="322"/>
        <v>3199.993818459039</v>
      </c>
      <c r="N474" s="83">
        <f t="shared" si="322"/>
        <v>3295.9936330128107</v>
      </c>
      <c r="O474" s="83">
        <f t="shared" si="322"/>
        <v>3394.8734420031956</v>
      </c>
      <c r="P474" s="83">
        <f t="shared" si="322"/>
        <v>3496.719645263292</v>
      </c>
      <c r="Q474" s="105"/>
    </row>
    <row r="475" spans="1:17" ht="12.75" customHeight="1">
      <c r="A475" s="20"/>
      <c r="C475" s="6"/>
      <c r="D475" s="6"/>
      <c r="E475" s="53"/>
      <c r="F475" s="53"/>
      <c r="G475" s="37"/>
      <c r="H475" s="53"/>
      <c r="I475" s="53"/>
      <c r="J475" s="53"/>
      <c r="K475" s="53"/>
      <c r="L475" s="53"/>
      <c r="M475" s="37"/>
      <c r="N475" s="53"/>
      <c r="O475" s="53"/>
      <c r="P475" s="53"/>
      <c r="Q475" s="53"/>
    </row>
    <row r="476" spans="1:23" s="7" customFormat="1" ht="12" customHeight="1">
      <c r="A476" s="20">
        <v>55</v>
      </c>
      <c r="C476" s="7" t="s">
        <v>234</v>
      </c>
      <c r="D476" s="58">
        <f>(D144*D146+D473*D461)/(D144+D473)</f>
        <v>0.09</v>
      </c>
      <c r="E476" s="58">
        <f aca="true" t="shared" si="323" ref="E476:P476">(E144*E146+E473*E461)/(E144+E473)</f>
        <v>0.09000000000000001</v>
      </c>
      <c r="F476" s="58">
        <f t="shared" si="323"/>
        <v>0.09000000000000001</v>
      </c>
      <c r="G476" s="170">
        <f t="shared" si="323"/>
        <v>0.09000000000000001</v>
      </c>
      <c r="H476" s="58">
        <f t="shared" si="323"/>
        <v>0.09</v>
      </c>
      <c r="I476" s="58">
        <f t="shared" si="323"/>
        <v>0.09000000000000001</v>
      </c>
      <c r="J476" s="58">
        <f t="shared" si="323"/>
        <v>0.09000000000000001</v>
      </c>
      <c r="K476" s="58">
        <f t="shared" si="323"/>
        <v>0.09</v>
      </c>
      <c r="L476" s="58">
        <f t="shared" si="323"/>
        <v>0.09</v>
      </c>
      <c r="M476" s="58">
        <f t="shared" si="323"/>
        <v>0.09</v>
      </c>
      <c r="N476" s="58">
        <f t="shared" si="323"/>
        <v>0.09</v>
      </c>
      <c r="O476" s="58">
        <f t="shared" si="323"/>
        <v>0.09</v>
      </c>
      <c r="P476" s="58">
        <f t="shared" si="323"/>
        <v>0.09</v>
      </c>
      <c r="Q476" s="58">
        <f>P476</f>
        <v>0.09</v>
      </c>
      <c r="R476" s="66"/>
      <c r="S476" s="66"/>
      <c r="T476" s="66"/>
      <c r="U476" s="66"/>
      <c r="V476" s="66"/>
      <c r="W476" s="66"/>
    </row>
    <row r="477" spans="1:17" ht="12" customHeight="1" hidden="1">
      <c r="A477" s="20"/>
      <c r="C477" s="26" t="s">
        <v>153</v>
      </c>
      <c r="D477" s="14">
        <v>1</v>
      </c>
      <c r="E477" s="14">
        <f>1/(1+D476)</f>
        <v>0.9174311926605504</v>
      </c>
      <c r="F477" s="14">
        <f aca="true" t="shared" si="324" ref="F477:Q477">E477/(1+E476)</f>
        <v>0.84167999326656</v>
      </c>
      <c r="G477" s="119">
        <f t="shared" si="324"/>
        <v>0.7721834800610641</v>
      </c>
      <c r="H477" s="14">
        <f t="shared" si="324"/>
        <v>0.7084252110651964</v>
      </c>
      <c r="I477" s="14">
        <f t="shared" si="324"/>
        <v>0.6499313862983452</v>
      </c>
      <c r="J477" s="14">
        <f t="shared" si="324"/>
        <v>0.5962673268792158</v>
      </c>
      <c r="K477" s="14">
        <f t="shared" si="324"/>
        <v>0.5470342448433172</v>
      </c>
      <c r="L477" s="14">
        <f t="shared" si="324"/>
        <v>0.501866279672768</v>
      </c>
      <c r="M477" s="119">
        <f t="shared" si="324"/>
        <v>0.4604277795163009</v>
      </c>
      <c r="N477" s="14">
        <f t="shared" si="324"/>
        <v>0.42241080689568883</v>
      </c>
      <c r="O477" s="14">
        <f t="shared" si="324"/>
        <v>0.38753285036301727</v>
      </c>
      <c r="P477" s="14">
        <f t="shared" si="324"/>
        <v>0.35553472510368556</v>
      </c>
      <c r="Q477" s="14">
        <f t="shared" si="324"/>
        <v>0.3261786468841152</v>
      </c>
    </row>
    <row r="478" spans="1:17" ht="12" customHeight="1" hidden="1">
      <c r="A478" s="54">
        <v>28</v>
      </c>
      <c r="B478" s="51"/>
      <c r="C478" s="51" t="s">
        <v>84</v>
      </c>
      <c r="D478" s="51"/>
      <c r="E478" s="28">
        <f aca="true" t="shared" si="325" ref="E478:P478">E452</f>
        <v>128</v>
      </c>
      <c r="F478" s="28">
        <f t="shared" si="325"/>
        <v>-142</v>
      </c>
      <c r="G478" s="122">
        <f t="shared" si="325"/>
        <v>162</v>
      </c>
      <c r="H478" s="28">
        <f t="shared" si="325"/>
        <v>161.03000000000003</v>
      </c>
      <c r="I478" s="28">
        <f t="shared" si="325"/>
        <v>165.86789999999968</v>
      </c>
      <c r="J478" s="28">
        <f t="shared" si="325"/>
        <v>170.5891836666665</v>
      </c>
      <c r="K478" s="28">
        <f t="shared" si="325"/>
        <v>175.70685917666628</v>
      </c>
      <c r="L478" s="28">
        <f t="shared" si="325"/>
        <v>180.97806495196693</v>
      </c>
      <c r="M478" s="122">
        <f t="shared" si="325"/>
        <v>186.40740690052502</v>
      </c>
      <c r="N478" s="28">
        <f t="shared" si="325"/>
        <v>191.99962910754127</v>
      </c>
      <c r="O478" s="28">
        <f t="shared" si="325"/>
        <v>197.75961798076764</v>
      </c>
      <c r="P478" s="28">
        <f t="shared" si="325"/>
        <v>203.69240652019178</v>
      </c>
      <c r="Q478" s="1">
        <f>P478*(1+O$8)+P478*(1+O$8)*(1+O$8)/(P476-O$8)</f>
        <v>3811.424413336989</v>
      </c>
    </row>
    <row r="479" spans="1:17" ht="12" customHeight="1" hidden="1">
      <c r="A479" s="20"/>
      <c r="C479" s="26" t="s">
        <v>154</v>
      </c>
      <c r="D479" s="1"/>
      <c r="E479" s="1">
        <f aca="true" t="shared" si="326" ref="E479:Q479">E478*E477</f>
        <v>117.43119266055045</v>
      </c>
      <c r="F479" s="1">
        <f t="shared" si="326"/>
        <v>-119.51855904385151</v>
      </c>
      <c r="G479" s="36">
        <f t="shared" si="326"/>
        <v>125.09372376989238</v>
      </c>
      <c r="H479" s="1">
        <f t="shared" si="326"/>
        <v>114.0777117378286</v>
      </c>
      <c r="I479" s="1">
        <f t="shared" si="326"/>
        <v>107.80275418939509</v>
      </c>
      <c r="J479" s="1">
        <f t="shared" si="326"/>
        <v>101.7167565394308</v>
      </c>
      <c r="K479" s="1">
        <f t="shared" si="326"/>
        <v>96.11766902349872</v>
      </c>
      <c r="L479" s="1">
        <f t="shared" si="326"/>
        <v>90.8267881598202</v>
      </c>
      <c r="M479" s="36">
        <f t="shared" si="326"/>
        <v>85.82714844460031</v>
      </c>
      <c r="N479" s="1">
        <f t="shared" si="326"/>
        <v>81.10271825498948</v>
      </c>
      <c r="O479" s="1">
        <f t="shared" si="326"/>
        <v>76.63834844278828</v>
      </c>
      <c r="P479" s="1">
        <f t="shared" si="326"/>
        <v>72.41972375786455</v>
      </c>
      <c r="Q479" s="1">
        <f t="shared" si="326"/>
        <v>1243.2052578433415</v>
      </c>
    </row>
    <row r="480" spans="1:17" ht="12" customHeight="1">
      <c r="A480" s="20">
        <v>56</v>
      </c>
      <c r="B480" s="4" t="s">
        <v>231</v>
      </c>
      <c r="C480" s="51" t="s">
        <v>235</v>
      </c>
      <c r="D480" s="22">
        <f>SUM(E479:$Q479)/D477</f>
        <v>2192.741233780149</v>
      </c>
      <c r="E480" s="22">
        <f>SUM(F479:$Q479)/E477</f>
        <v>2262.0879448203623</v>
      </c>
      <c r="F480" s="22">
        <f>SUM(G479:$Q479)/F477</f>
        <v>2607.6758598541946</v>
      </c>
      <c r="G480" s="111">
        <f>SUM(H479:$Q479)/G477</f>
        <v>2680.366687241073</v>
      </c>
      <c r="H480" s="22">
        <f>SUM(I479:$Q479)/H477</f>
        <v>2760.5696890927693</v>
      </c>
      <c r="I480" s="22">
        <f>SUM(J479:$Q479)/I477</f>
        <v>2843.1530611111193</v>
      </c>
      <c r="J480" s="22">
        <f>SUM(K479:$Q479)/J477</f>
        <v>2928.447652944454</v>
      </c>
      <c r="K480" s="22">
        <f>SUM(L479:$Q479)/K477</f>
        <v>3016.3010825327888</v>
      </c>
      <c r="L480" s="22">
        <f>SUM(M479:$Q479)/L477</f>
        <v>3106.7901150087737</v>
      </c>
      <c r="M480" s="111">
        <f>SUM(N479:$Q479)/M477</f>
        <v>3199.9938184590387</v>
      </c>
      <c r="N480" s="22">
        <f>SUM(O479:$Q479)/N477</f>
        <v>3295.9936330128107</v>
      </c>
      <c r="O480" s="22">
        <f>SUM(P479:$Q479)/O477</f>
        <v>3394.8734420031965</v>
      </c>
      <c r="P480" s="22">
        <f>SUM(Q479:$Q479)/P477</f>
        <v>3496.7196452632925</v>
      </c>
      <c r="Q480" s="22"/>
    </row>
    <row r="481" spans="1:23" s="78" customFormat="1" ht="12.75" customHeight="1" thickBot="1">
      <c r="A481" s="77">
        <v>57</v>
      </c>
      <c r="B481" s="78" t="s">
        <v>138</v>
      </c>
      <c r="C481" s="91" t="s">
        <v>236</v>
      </c>
      <c r="D481" s="93">
        <f>D480-D144</f>
        <v>1192.7412337801481</v>
      </c>
      <c r="E481" s="93">
        <f aca="true" t="shared" si="327" ref="E481:P481">E480-E144</f>
        <v>1262.0879448203614</v>
      </c>
      <c r="F481" s="93">
        <f t="shared" si="327"/>
        <v>1507.6758598541937</v>
      </c>
      <c r="G481" s="116">
        <f t="shared" si="327"/>
        <v>1580.366687241072</v>
      </c>
      <c r="H481" s="93">
        <f t="shared" si="327"/>
        <v>1627.5696890927682</v>
      </c>
      <c r="I481" s="93">
        <f t="shared" si="327"/>
        <v>1676.163061111118</v>
      </c>
      <c r="J481" s="93">
        <f t="shared" si="327"/>
        <v>1726.4479529444525</v>
      </c>
      <c r="K481" s="93">
        <f t="shared" si="327"/>
        <v>1778.241391532787</v>
      </c>
      <c r="L481" s="93">
        <f t="shared" si="327"/>
        <v>1831.5886332787718</v>
      </c>
      <c r="M481" s="93">
        <f t="shared" si="327"/>
        <v>1886.5362922771367</v>
      </c>
      <c r="N481" s="93">
        <f t="shared" si="327"/>
        <v>1943.1323810454512</v>
      </c>
      <c r="O481" s="93">
        <f t="shared" si="327"/>
        <v>2001.426352476816</v>
      </c>
      <c r="P481" s="93">
        <f t="shared" si="327"/>
        <v>2061.46914305112</v>
      </c>
      <c r="Q481" s="133"/>
      <c r="R481" s="82"/>
      <c r="S481" s="82"/>
      <c r="T481" s="82"/>
      <c r="U481" s="82"/>
      <c r="V481" s="82"/>
      <c r="W481" s="82"/>
    </row>
    <row r="482" spans="1:17" ht="12" customHeight="1">
      <c r="A482" s="20"/>
      <c r="D482" s="49"/>
      <c r="E482" s="49"/>
      <c r="F482" s="49"/>
      <c r="G482" s="40"/>
      <c r="H482" s="49"/>
      <c r="I482" s="49"/>
      <c r="J482" s="27"/>
      <c r="K482" s="27"/>
      <c r="L482" s="27"/>
      <c r="M482" s="32"/>
      <c r="N482" s="27"/>
      <c r="O482" s="27"/>
      <c r="P482" s="27"/>
      <c r="Q482" s="27"/>
    </row>
    <row r="483" spans="1:23" s="78" customFormat="1" ht="12.75" customHeight="1" thickBot="1">
      <c r="A483" s="77">
        <v>58</v>
      </c>
      <c r="C483" s="91" t="s">
        <v>237</v>
      </c>
      <c r="D483" s="107">
        <f>(D23*D461+D22*D145*(1-$F$1))/(D23+D22)</f>
        <v>0.0785760723073693</v>
      </c>
      <c r="E483" s="107">
        <f>(E23*E461+E22*E145*(1-$F$1))/(E23+E22)</f>
        <v>0.07841538836080014</v>
      </c>
      <c r="F483" s="107">
        <f>(F23*F461+F22*F145*(1-$F$1))/(F23+F22)</f>
        <v>0.07938195021718537</v>
      </c>
      <c r="G483" s="123">
        <f aca="true" t="shared" si="328" ref="G483:N483">(G23*G461+G22*G145*(1-$F$1))/(G23+G22)</f>
        <v>0.07970042619911015</v>
      </c>
      <c r="H483" s="107">
        <f t="shared" si="328"/>
        <v>0.07970188676987999</v>
      </c>
      <c r="I483" s="107">
        <f t="shared" si="328"/>
        <v>0.07970348057071684</v>
      </c>
      <c r="J483" s="107">
        <f t="shared" si="328"/>
        <v>0.07970348057071684</v>
      </c>
      <c r="K483" s="107">
        <f t="shared" si="328"/>
        <v>0.07970348057071684</v>
      </c>
      <c r="L483" s="107">
        <f t="shared" si="328"/>
        <v>0.07970348057071681</v>
      </c>
      <c r="M483" s="107">
        <f t="shared" si="328"/>
        <v>0.07970348057071683</v>
      </c>
      <c r="N483" s="107">
        <f t="shared" si="328"/>
        <v>0.07970348057071681</v>
      </c>
      <c r="O483" s="107">
        <f>(O23*O461+O22*O145*(1-$F$1))/(O23+O22)</f>
        <v>0.0797034805707168</v>
      </c>
      <c r="P483" s="107">
        <f>(P23*P461+P22*P145*(1-$F$1))/(P23+P22)</f>
        <v>0.0797034805707168</v>
      </c>
      <c r="Q483" s="108"/>
      <c r="R483" s="82"/>
      <c r="S483" s="82"/>
      <c r="T483" s="82"/>
      <c r="U483" s="82"/>
      <c r="V483" s="82"/>
      <c r="W483" s="82"/>
    </row>
    <row r="484" spans="1:17" ht="12.75" customHeight="1">
      <c r="A484" s="20">
        <v>59</v>
      </c>
      <c r="C484" s="86" t="s">
        <v>238</v>
      </c>
      <c r="D484" s="83"/>
      <c r="E484" s="83">
        <f aca="true" t="shared" si="329" ref="E484:P484">E40-D23*D461</f>
        <v>-17.152144614738575</v>
      </c>
      <c r="F484" s="83">
        <f t="shared" si="329"/>
        <v>15.816761627575701</v>
      </c>
      <c r="G484" s="36">
        <f t="shared" si="329"/>
        <v>19.461687736356595</v>
      </c>
      <c r="H484" s="83">
        <f t="shared" si="329"/>
        <v>20.45796433616232</v>
      </c>
      <c r="I484" s="83">
        <f t="shared" si="329"/>
        <v>21.075047603667286</v>
      </c>
      <c r="J484" s="83">
        <f t="shared" si="329"/>
        <v>21.448436900606055</v>
      </c>
      <c r="K484" s="83">
        <f t="shared" si="329"/>
        <v>22.091890007624187</v>
      </c>
      <c r="L484" s="83">
        <f t="shared" si="329"/>
        <v>22.754646707852885</v>
      </c>
      <c r="M484" s="83">
        <f t="shared" si="329"/>
        <v>23.43728610908863</v>
      </c>
      <c r="N484" s="83">
        <f t="shared" si="329"/>
        <v>24.14040469236116</v>
      </c>
      <c r="O484" s="83">
        <f t="shared" si="329"/>
        <v>24.864616833132118</v>
      </c>
      <c r="P484" s="83">
        <f t="shared" si="329"/>
        <v>25.610555338126034</v>
      </c>
      <c r="Q484" s="1">
        <f>P484*(1+O$8)+P484*(1+O$8)*(1+O$8)/(P461-O$8)</f>
        <v>362.28330481322774</v>
      </c>
    </row>
    <row r="485" spans="1:17" ht="12.75" customHeight="1">
      <c r="A485" s="20">
        <v>60</v>
      </c>
      <c r="C485" s="66" t="s">
        <v>239</v>
      </c>
      <c r="D485" s="83"/>
      <c r="E485" s="83">
        <f aca="true" t="shared" si="330" ref="E485:P485">E40+E36*(1-$F$1)-(D22+D23)*D468</f>
        <v>-23.582194084097097</v>
      </c>
      <c r="F485" s="83">
        <f t="shared" si="330"/>
        <v>8.45321812914824</v>
      </c>
      <c r="G485" s="36">
        <f t="shared" si="330"/>
        <v>12.307369902031525</v>
      </c>
      <c r="H485" s="83">
        <f t="shared" si="330"/>
        <v>13.380529018671012</v>
      </c>
      <c r="I485" s="83">
        <f t="shared" si="330"/>
        <v>13.790337970712784</v>
      </c>
      <c r="J485" s="83">
        <f t="shared" si="330"/>
        <v>13.950860364773916</v>
      </c>
      <c r="K485" s="83">
        <f t="shared" si="330"/>
        <v>14.36938617571704</v>
      </c>
      <c r="L485" s="83">
        <f t="shared" si="330"/>
        <v>14.800467760988568</v>
      </c>
      <c r="M485" s="83">
        <f t="shared" si="330"/>
        <v>15.244481793818323</v>
      </c>
      <c r="N485" s="83">
        <f t="shared" si="330"/>
        <v>15.701816247632706</v>
      </c>
      <c r="O485" s="83">
        <f t="shared" si="330"/>
        <v>16.172870735061792</v>
      </c>
      <c r="P485" s="83">
        <f t="shared" si="330"/>
        <v>16.658056857113536</v>
      </c>
      <c r="Q485" s="84"/>
    </row>
    <row r="486" spans="1:23" s="51" customFormat="1" ht="12.75" customHeight="1">
      <c r="A486" s="54">
        <v>61</v>
      </c>
      <c r="C486" s="47" t="s">
        <v>240</v>
      </c>
      <c r="D486" s="22"/>
      <c r="E486" s="22" t="e">
        <f aca="true" t="shared" si="331" ref="E486:P486">#REF!+#REF!*(1-$F$1)-(#REF!+#REF!)*D483</f>
        <v>#REF!</v>
      </c>
      <c r="F486" s="22" t="e">
        <f t="shared" si="331"/>
        <v>#REF!</v>
      </c>
      <c r="G486" s="111" t="e">
        <f t="shared" si="331"/>
        <v>#REF!</v>
      </c>
      <c r="H486" s="22" t="e">
        <f t="shared" si="331"/>
        <v>#REF!</v>
      </c>
      <c r="I486" s="22" t="e">
        <f t="shared" si="331"/>
        <v>#REF!</v>
      </c>
      <c r="J486" s="22" t="e">
        <f t="shared" si="331"/>
        <v>#REF!</v>
      </c>
      <c r="K486" s="22" t="e">
        <f t="shared" si="331"/>
        <v>#REF!</v>
      </c>
      <c r="L486" s="22" t="e">
        <f t="shared" si="331"/>
        <v>#REF!</v>
      </c>
      <c r="M486" s="111" t="e">
        <f t="shared" si="331"/>
        <v>#REF!</v>
      </c>
      <c r="N486" s="22" t="e">
        <f t="shared" si="331"/>
        <v>#REF!</v>
      </c>
      <c r="O486" s="22" t="e">
        <f t="shared" si="331"/>
        <v>#REF!</v>
      </c>
      <c r="P486" s="22" t="e">
        <f t="shared" si="331"/>
        <v>#REF!</v>
      </c>
      <c r="Q486" s="44"/>
      <c r="R486" s="82"/>
      <c r="S486" s="82"/>
      <c r="T486" s="82"/>
      <c r="U486" s="82"/>
      <c r="V486" s="82"/>
      <c r="W486" s="82"/>
    </row>
    <row r="487" spans="1:17" ht="12.75" customHeight="1">
      <c r="A487" s="20"/>
      <c r="C487" s="66"/>
      <c r="D487" s="83"/>
      <c r="E487" s="83"/>
      <c r="F487" s="83"/>
      <c r="G487" s="36"/>
      <c r="H487" s="83"/>
      <c r="I487" s="83"/>
      <c r="J487" s="83"/>
      <c r="K487" s="83"/>
      <c r="L487" s="83"/>
      <c r="M487" s="36"/>
      <c r="N487" s="83"/>
      <c r="O487" s="83"/>
      <c r="P487" s="83"/>
      <c r="Q487" s="84"/>
    </row>
    <row r="488" spans="1:17" ht="12.75" customHeight="1" hidden="1">
      <c r="A488" s="20"/>
      <c r="C488" s="26" t="s">
        <v>143</v>
      </c>
      <c r="D488" s="83"/>
      <c r="E488" s="83">
        <f aca="true" t="shared" si="332" ref="E488:P488">E462</f>
        <v>0.8967386242578396</v>
      </c>
      <c r="F488" s="83">
        <f t="shared" si="332"/>
        <v>0.8051379693238874</v>
      </c>
      <c r="G488" s="36">
        <f t="shared" si="332"/>
        <v>0.7241178731602219</v>
      </c>
      <c r="H488" s="83">
        <f t="shared" si="332"/>
        <v>0.6518409472774749</v>
      </c>
      <c r="I488" s="83">
        <f t="shared" si="332"/>
        <v>0.5867768433998073</v>
      </c>
      <c r="J488" s="83">
        <f t="shared" si="332"/>
        <v>0.5282057883165067</v>
      </c>
      <c r="K488" s="83">
        <f t="shared" si="332"/>
        <v>0.4754811951925673</v>
      </c>
      <c r="L488" s="83">
        <f t="shared" si="332"/>
        <v>0.4280194802528012</v>
      </c>
      <c r="M488" s="36">
        <f t="shared" si="332"/>
        <v>0.3852953120505276</v>
      </c>
      <c r="N488" s="83">
        <f t="shared" si="332"/>
        <v>0.34683579682035254</v>
      </c>
      <c r="O488" s="83">
        <f t="shared" si="332"/>
        <v>0.3122152442390303</v>
      </c>
      <c r="P488" s="83">
        <f t="shared" si="332"/>
        <v>0.28105045565907183</v>
      </c>
      <c r="Q488" s="87">
        <f>P488/(1+$P461)</f>
        <v>0.25299648266276864</v>
      </c>
    </row>
    <row r="489" spans="1:17" ht="12.75" customHeight="1" hidden="1">
      <c r="A489" s="20"/>
      <c r="C489" s="26" t="s">
        <v>158</v>
      </c>
      <c r="D489" s="1"/>
      <c r="E489" s="1">
        <f aca="true" t="shared" si="333" ref="E489:Q489">E484*E488</f>
        <v>-15.380990564892182</v>
      </c>
      <c r="F489" s="1">
        <f t="shared" si="333"/>
        <v>12.734675338106284</v>
      </c>
      <c r="G489" s="36">
        <f t="shared" si="333"/>
        <v>14.09255593175891</v>
      </c>
      <c r="H489" s="1">
        <f t="shared" si="333"/>
        <v>13.335338852252844</v>
      </c>
      <c r="I489" s="1">
        <f t="shared" si="333"/>
        <v>12.366349907380563</v>
      </c>
      <c r="J489" s="1">
        <f t="shared" si="333"/>
        <v>11.329188521241472</v>
      </c>
      <c r="K489" s="1">
        <f t="shared" si="333"/>
        <v>10.504278264887883</v>
      </c>
      <c r="L489" s="1">
        <f t="shared" si="333"/>
        <v>9.739432057231305</v>
      </c>
      <c r="M489" s="36">
        <f t="shared" si="333"/>
        <v>9.0302764650188</v>
      </c>
      <c r="N489" s="1">
        <f t="shared" si="333"/>
        <v>8.372756497040859</v>
      </c>
      <c r="O489" s="1">
        <f t="shared" si="333"/>
        <v>7.763112417466248</v>
      </c>
      <c r="P489" s="1">
        <f t="shared" si="333"/>
        <v>7.197858247462196</v>
      </c>
      <c r="Q489" s="1">
        <f t="shared" si="333"/>
        <v>91.6564018451903</v>
      </c>
    </row>
    <row r="490" spans="1:17" ht="12.75" customHeight="1">
      <c r="A490" s="20">
        <v>62</v>
      </c>
      <c r="C490" s="51" t="s">
        <v>241</v>
      </c>
      <c r="D490" s="22">
        <f>SUM(E489:$Q489)/D462</f>
        <v>192.74123378014548</v>
      </c>
      <c r="E490" s="22">
        <f>SUM(F489:$Q489)/E462</f>
        <v>232.0879448203585</v>
      </c>
      <c r="F490" s="22">
        <f>SUM(G489:$Q489)/F462</f>
        <v>242.6758598541907</v>
      </c>
      <c r="G490" s="111">
        <f>SUM(H489:$Q489)/G462</f>
        <v>250.36668724106775</v>
      </c>
      <c r="H490" s="22">
        <f>SUM(I489:$Q489)/H462</f>
        <v>257.66968909276386</v>
      </c>
      <c r="I490" s="22">
        <f>SUM(J489:$Q489)/I462</f>
        <v>265.16606111111264</v>
      </c>
      <c r="J490" s="22">
        <f>SUM(K489:$Q489)/J462</f>
        <v>273.12104294444606</v>
      </c>
      <c r="K490" s="22">
        <f>SUM(L489:$Q489)/K462</f>
        <v>281.31467423277945</v>
      </c>
      <c r="L490" s="22">
        <f>SUM(M489:$Q489)/L462</f>
        <v>289.75411445976295</v>
      </c>
      <c r="M490" s="111">
        <f>SUM(N489:$Q489)/M462</f>
        <v>298.44673789355585</v>
      </c>
      <c r="N490" s="22">
        <f>SUM(O489:$Q489)/N462</f>
        <v>307.40014003036254</v>
      </c>
      <c r="O490" s="22">
        <f>SUM(P489:$Q489)/O462</f>
        <v>316.62214423127335</v>
      </c>
      <c r="P490" s="22">
        <f>SUM(Q489:$Q489)/P462</f>
        <v>326.1208085582116</v>
      </c>
      <c r="Q490" s="84"/>
    </row>
    <row r="491" spans="1:23" s="78" customFormat="1" ht="12.75" customHeight="1" thickBot="1">
      <c r="A491" s="77">
        <v>63</v>
      </c>
      <c r="B491" s="78" t="s">
        <v>160</v>
      </c>
      <c r="C491" s="91" t="s">
        <v>242</v>
      </c>
      <c r="D491" s="93">
        <f>D490+D23</f>
        <v>1192.7412337801454</v>
      </c>
      <c r="E491" s="93">
        <f aca="true" t="shared" si="334" ref="E491:P491">E490+E23</f>
        <v>1262.0879448203584</v>
      </c>
      <c r="F491" s="93">
        <f t="shared" si="334"/>
        <v>1507.6758598541908</v>
      </c>
      <c r="G491" s="116">
        <f t="shared" si="334"/>
        <v>1580.3666872410677</v>
      </c>
      <c r="H491" s="93">
        <f t="shared" si="334"/>
        <v>1627.5696890927638</v>
      </c>
      <c r="I491" s="93">
        <f t="shared" si="334"/>
        <v>1676.163061111113</v>
      </c>
      <c r="J491" s="93">
        <f t="shared" si="334"/>
        <v>1726.4479529444463</v>
      </c>
      <c r="K491" s="93">
        <f t="shared" si="334"/>
        <v>1778.2413915327797</v>
      </c>
      <c r="L491" s="93">
        <f t="shared" si="334"/>
        <v>1831.5886332787627</v>
      </c>
      <c r="M491" s="93">
        <f t="shared" si="334"/>
        <v>1886.536292277126</v>
      </c>
      <c r="N491" s="93">
        <f t="shared" si="334"/>
        <v>1943.1323810454398</v>
      </c>
      <c r="O491" s="93">
        <f t="shared" si="334"/>
        <v>2001.4263524768028</v>
      </c>
      <c r="P491" s="93">
        <f t="shared" si="334"/>
        <v>2061.4691430511057</v>
      </c>
      <c r="Q491" s="109"/>
      <c r="R491" s="82"/>
      <c r="S491" s="82"/>
      <c r="T491" s="82"/>
      <c r="U491" s="82"/>
      <c r="V491" s="82"/>
      <c r="W491" s="82"/>
    </row>
    <row r="492" spans="1:17" s="82" customFormat="1" ht="12.75" customHeight="1">
      <c r="A492" s="65"/>
      <c r="C492" s="66"/>
      <c r="D492" s="67"/>
      <c r="E492" s="67"/>
      <c r="F492" s="67"/>
      <c r="G492" s="118"/>
      <c r="H492" s="67"/>
      <c r="I492" s="67"/>
      <c r="J492" s="67"/>
      <c r="K492" s="67"/>
      <c r="L492" s="67"/>
      <c r="M492" s="118"/>
      <c r="N492" s="67"/>
      <c r="O492" s="67"/>
      <c r="P492" s="67"/>
      <c r="Q492" s="84"/>
    </row>
    <row r="493" spans="1:17" s="82" customFormat="1" ht="12.75" customHeight="1" hidden="1">
      <c r="A493" s="88"/>
      <c r="C493" s="82" t="s">
        <v>22</v>
      </c>
      <c r="D493" s="71"/>
      <c r="E493" s="71">
        <f aca="true" t="shared" si="335" ref="E493:P493">E485</f>
        <v>-23.582194084097097</v>
      </c>
      <c r="F493" s="71">
        <f t="shared" si="335"/>
        <v>8.45321812914824</v>
      </c>
      <c r="G493" s="114">
        <f t="shared" si="335"/>
        <v>12.307369902031525</v>
      </c>
      <c r="H493" s="71">
        <f t="shared" si="335"/>
        <v>13.380529018671012</v>
      </c>
      <c r="I493" s="71">
        <f t="shared" si="335"/>
        <v>13.790337970712784</v>
      </c>
      <c r="J493" s="71">
        <f t="shared" si="335"/>
        <v>13.950860364773916</v>
      </c>
      <c r="K493" s="71">
        <f t="shared" si="335"/>
        <v>14.36938617571704</v>
      </c>
      <c r="L493" s="71">
        <f t="shared" si="335"/>
        <v>14.800467760988568</v>
      </c>
      <c r="M493" s="114">
        <f t="shared" si="335"/>
        <v>15.244481793818323</v>
      </c>
      <c r="N493" s="71">
        <f t="shared" si="335"/>
        <v>15.701816247632706</v>
      </c>
      <c r="O493" s="71">
        <f t="shared" si="335"/>
        <v>16.172870735061792</v>
      </c>
      <c r="P493" s="71">
        <f t="shared" si="335"/>
        <v>16.658056857113536</v>
      </c>
      <c r="Q493" s="1">
        <f>P493*(1+O$8)+P493*(1+O$8)*(1+O$8)/(P468-O$8)</f>
        <v>353.06223137777704</v>
      </c>
    </row>
    <row r="494" spans="1:17" ht="12.75" customHeight="1" hidden="1">
      <c r="A494" s="20"/>
      <c r="C494" s="26" t="s">
        <v>162</v>
      </c>
      <c r="D494" s="1"/>
      <c r="E494" s="1">
        <f aca="true" t="shared" si="336" ref="E494:Q494">E493*E469</f>
        <v>-21.799212573091154</v>
      </c>
      <c r="F494" s="1">
        <f t="shared" si="336"/>
        <v>7.221613702054261</v>
      </c>
      <c r="G494" s="36">
        <f t="shared" si="336"/>
        <v>9.713747862452353</v>
      </c>
      <c r="H494" s="1">
        <f t="shared" si="336"/>
        <v>9.754873431481649</v>
      </c>
      <c r="I494" s="1">
        <f t="shared" si="336"/>
        <v>9.286461651400971</v>
      </c>
      <c r="J494" s="1">
        <f t="shared" si="336"/>
        <v>8.677679388475008</v>
      </c>
      <c r="K494" s="1">
        <f t="shared" si="336"/>
        <v>8.255969384662803</v>
      </c>
      <c r="L494" s="1">
        <f t="shared" si="336"/>
        <v>7.854753261686065</v>
      </c>
      <c r="M494" s="36">
        <f t="shared" si="336"/>
        <v>7.473035076484614</v>
      </c>
      <c r="N494" s="1">
        <f t="shared" si="336"/>
        <v>7.109867285936967</v>
      </c>
      <c r="O494" s="1">
        <f t="shared" si="336"/>
        <v>6.764348394764507</v>
      </c>
      <c r="P494" s="1">
        <f t="shared" si="336"/>
        <v>6.435620717739261</v>
      </c>
      <c r="Q494" s="1">
        <f t="shared" si="336"/>
        <v>125.99247619609397</v>
      </c>
    </row>
    <row r="495" spans="1:17" ht="12.75" customHeight="1">
      <c r="A495" s="20">
        <v>64</v>
      </c>
      <c r="C495" s="51" t="s">
        <v>243</v>
      </c>
      <c r="D495" s="22">
        <f>SUM(E494:$Q494)/D469</f>
        <v>192.74123378014127</v>
      </c>
      <c r="E495" s="22">
        <f>SUM(F494:$Q494)/E469</f>
        <v>232.08794482035407</v>
      </c>
      <c r="F495" s="22">
        <f>SUM(G494:$Q494)/F469</f>
        <v>242.6758598541861</v>
      </c>
      <c r="G495" s="111">
        <f>SUM(H494:$Q494)/G469</f>
        <v>250.36668724106292</v>
      </c>
      <c r="H495" s="22">
        <f>SUM(I494:$Q494)/H469</f>
        <v>257.6696890927587</v>
      </c>
      <c r="I495" s="22">
        <f>SUM(J494:$Q494)/I469</f>
        <v>265.1660611111072</v>
      </c>
      <c r="J495" s="22">
        <f>SUM(K494:$Q494)/J469</f>
        <v>273.1210429444402</v>
      </c>
      <c r="K495" s="22">
        <f>SUM(L494:$Q494)/K469</f>
        <v>281.3146742327733</v>
      </c>
      <c r="L495" s="22">
        <f>SUM(M494:$Q494)/L469</f>
        <v>289.7541144597565</v>
      </c>
      <c r="M495" s="111">
        <f>SUM(N494:$Q494)/M469</f>
        <v>298.446737893549</v>
      </c>
      <c r="N495" s="22">
        <f>SUM(O494:$Q494)/N469</f>
        <v>307.4001400303555</v>
      </c>
      <c r="O495" s="22">
        <f>SUM(P494:$Q494)/O469</f>
        <v>316.62214423126596</v>
      </c>
      <c r="P495" s="22">
        <f>SUM(Q494:$Q494)/P469</f>
        <v>326.12080855820403</v>
      </c>
      <c r="Q495" s="22"/>
    </row>
    <row r="496" spans="1:23" s="78" customFormat="1" ht="12.75" customHeight="1" thickBot="1">
      <c r="A496" s="77">
        <v>65</v>
      </c>
      <c r="B496" s="78" t="s">
        <v>244</v>
      </c>
      <c r="C496" s="91"/>
      <c r="D496" s="93">
        <f>D495+D23-(D144-D140)</f>
        <v>1192.7412337801406</v>
      </c>
      <c r="E496" s="93">
        <f aca="true" t="shared" si="337" ref="E496:P496">E495+E23-(E144-E140)</f>
        <v>1262.0879448203532</v>
      </c>
      <c r="F496" s="93">
        <f t="shared" si="337"/>
        <v>1507.675859854185</v>
      </c>
      <c r="G496" s="116">
        <f t="shared" si="337"/>
        <v>1580.3666872410618</v>
      </c>
      <c r="H496" s="93">
        <f t="shared" si="337"/>
        <v>1627.5696890927577</v>
      </c>
      <c r="I496" s="93">
        <f t="shared" si="337"/>
        <v>1676.1630611111061</v>
      </c>
      <c r="J496" s="93">
        <f t="shared" si="337"/>
        <v>1726.4479529444388</v>
      </c>
      <c r="K496" s="93">
        <f t="shared" si="337"/>
        <v>1778.241391532772</v>
      </c>
      <c r="L496" s="93">
        <f t="shared" si="337"/>
        <v>1831.5886332787545</v>
      </c>
      <c r="M496" s="93">
        <f t="shared" si="337"/>
        <v>1886.5362922771176</v>
      </c>
      <c r="N496" s="93">
        <f t="shared" si="337"/>
        <v>1943.1323810454307</v>
      </c>
      <c r="O496" s="93">
        <f t="shared" si="337"/>
        <v>2001.4263524767932</v>
      </c>
      <c r="P496" s="93">
        <f t="shared" si="337"/>
        <v>2061.4691430510957</v>
      </c>
      <c r="Q496" s="109"/>
      <c r="R496" s="82"/>
      <c r="S496" s="82"/>
      <c r="T496" s="82"/>
      <c r="U496" s="82"/>
      <c r="V496" s="82"/>
      <c r="W496" s="82"/>
    </row>
    <row r="497" spans="1:16" ht="12.75" customHeight="1" hidden="1">
      <c r="A497" s="20"/>
      <c r="B497" s="181" t="s">
        <v>245</v>
      </c>
      <c r="C497" s="113" t="s">
        <v>246</v>
      </c>
      <c r="D497" s="113"/>
      <c r="E497" s="113"/>
      <c r="F497" s="125"/>
      <c r="G497" s="196"/>
      <c r="H497" s="52"/>
      <c r="I497" s="52"/>
      <c r="J497" s="52"/>
      <c r="K497" s="52"/>
      <c r="L497" s="52"/>
      <c r="M497" s="125"/>
      <c r="N497" s="52"/>
      <c r="O497" s="52"/>
      <c r="P497" s="52"/>
    </row>
    <row r="498" spans="1:16" ht="12.75" customHeight="1">
      <c r="A498" s="20"/>
      <c r="B498" s="181"/>
      <c r="C498" s="113"/>
      <c r="D498" s="113"/>
      <c r="E498" s="113"/>
      <c r="F498" s="125"/>
      <c r="G498" s="196"/>
      <c r="H498" s="52"/>
      <c r="I498" s="52"/>
      <c r="J498" s="52"/>
      <c r="K498" s="52"/>
      <c r="L498" s="52"/>
      <c r="M498" s="125"/>
      <c r="N498" s="52"/>
      <c r="O498" s="52"/>
      <c r="P498" s="52"/>
    </row>
    <row r="499" spans="1:17" ht="12" customHeight="1" thickBot="1">
      <c r="A499" s="20"/>
      <c r="B499"/>
      <c r="C499"/>
      <c r="D499" s="127">
        <v>0</v>
      </c>
      <c r="E499" s="127">
        <v>1</v>
      </c>
      <c r="F499" s="127">
        <f aca="true" t="shared" si="338" ref="F499:Q499">E499+1</f>
        <v>2</v>
      </c>
      <c r="G499" s="137">
        <f t="shared" si="338"/>
        <v>3</v>
      </c>
      <c r="H499" s="127">
        <f t="shared" si="338"/>
        <v>4</v>
      </c>
      <c r="I499" s="127">
        <f t="shared" si="338"/>
        <v>5</v>
      </c>
      <c r="J499" s="127">
        <f t="shared" si="338"/>
        <v>6</v>
      </c>
      <c r="K499" s="127">
        <f t="shared" si="338"/>
        <v>7</v>
      </c>
      <c r="L499" s="127">
        <f t="shared" si="338"/>
        <v>8</v>
      </c>
      <c r="M499" s="137">
        <f t="shared" si="338"/>
        <v>9</v>
      </c>
      <c r="N499" s="127">
        <f t="shared" si="338"/>
        <v>10</v>
      </c>
      <c r="O499" s="127">
        <f t="shared" si="338"/>
        <v>11</v>
      </c>
      <c r="P499" s="127">
        <f t="shared" si="338"/>
        <v>12</v>
      </c>
      <c r="Q499" s="127">
        <f t="shared" si="338"/>
        <v>13</v>
      </c>
    </row>
    <row r="500" spans="1:17" ht="12" customHeight="1">
      <c r="A500" s="54">
        <v>27</v>
      </c>
      <c r="B500" s="51"/>
      <c r="C500" s="47" t="s">
        <v>18</v>
      </c>
      <c r="D500" s="51"/>
      <c r="E500" s="72">
        <f aca="true" t="shared" si="339" ref="E500:Q500">E$55-D466*(D461-D$133)</f>
        <v>37.99999999999997</v>
      </c>
      <c r="F500" s="72">
        <f t="shared" si="339"/>
        <v>-132.00000000000003</v>
      </c>
      <c r="G500" s="72">
        <f t="shared" si="339"/>
        <v>62.99999999999996</v>
      </c>
      <c r="H500" s="72">
        <f t="shared" si="339"/>
        <v>95.02999999999996</v>
      </c>
      <c r="I500" s="72">
        <f t="shared" si="339"/>
        <v>97.88789999999962</v>
      </c>
      <c r="J500" s="72">
        <f t="shared" si="339"/>
        <v>100.56978366666648</v>
      </c>
      <c r="K500" s="72">
        <f t="shared" si="339"/>
        <v>103.58687717666629</v>
      </c>
      <c r="L500" s="72">
        <f t="shared" si="339"/>
        <v>106.69448349196702</v>
      </c>
      <c r="M500" s="72">
        <f t="shared" si="339"/>
        <v>109.89531799672508</v>
      </c>
      <c r="N500" s="72">
        <f t="shared" si="339"/>
        <v>113.1921775366272</v>
      </c>
      <c r="O500" s="72">
        <f t="shared" si="339"/>
        <v>116.58794286272618</v>
      </c>
      <c r="P500" s="72">
        <f t="shared" si="339"/>
        <v>120.08558114860891</v>
      </c>
      <c r="Q500" s="72">
        <f t="shared" si="339"/>
        <v>123.68814858306501</v>
      </c>
    </row>
    <row r="501" spans="1:23" s="7" customFormat="1" ht="12" customHeight="1">
      <c r="A501" s="54">
        <v>28</v>
      </c>
      <c r="B501" s="47"/>
      <c r="C501" s="47" t="s">
        <v>15</v>
      </c>
      <c r="D501" s="47"/>
      <c r="E501" s="72">
        <f aca="true" t="shared" si="340" ref="E501:Q501">E$56-D472*(D468-D$133)</f>
        <v>127.99999999999997</v>
      </c>
      <c r="F501" s="72">
        <f t="shared" si="340"/>
        <v>-142</v>
      </c>
      <c r="G501" s="72">
        <f t="shared" si="340"/>
        <v>161.99999999999997</v>
      </c>
      <c r="H501" s="72">
        <f t="shared" si="340"/>
        <v>161.03000000000003</v>
      </c>
      <c r="I501" s="72">
        <f t="shared" si="340"/>
        <v>165.86789999999965</v>
      </c>
      <c r="J501" s="72">
        <f t="shared" si="340"/>
        <v>170.58918366666646</v>
      </c>
      <c r="K501" s="72">
        <f t="shared" si="340"/>
        <v>175.70685917666623</v>
      </c>
      <c r="L501" s="72">
        <f t="shared" si="340"/>
        <v>180.97806495196696</v>
      </c>
      <c r="M501" s="72">
        <f t="shared" si="340"/>
        <v>186.40740690052502</v>
      </c>
      <c r="N501" s="72">
        <f t="shared" si="340"/>
        <v>191.99962910754124</v>
      </c>
      <c r="O501" s="72">
        <f t="shared" si="340"/>
        <v>197.75961798076764</v>
      </c>
      <c r="P501" s="72">
        <f t="shared" si="340"/>
        <v>203.6924065201917</v>
      </c>
      <c r="Q501" s="72">
        <f t="shared" si="340"/>
        <v>209.80317871579518</v>
      </c>
      <c r="R501" s="66"/>
      <c r="S501" s="66"/>
      <c r="T501" s="66"/>
      <c r="U501" s="66"/>
      <c r="V501" s="66"/>
      <c r="W501" s="66"/>
    </row>
    <row r="502" spans="1:23" s="7" customFormat="1" ht="12" customHeight="1">
      <c r="A502" s="65"/>
      <c r="B502" s="66"/>
      <c r="C502" s="66"/>
      <c r="D502" s="113"/>
      <c r="E502" s="74"/>
      <c r="F502" s="74"/>
      <c r="G502" s="75"/>
      <c r="H502" s="74"/>
      <c r="I502" s="74"/>
      <c r="J502" s="74"/>
      <c r="K502" s="74"/>
      <c r="L502" s="74"/>
      <c r="M502" s="75"/>
      <c r="N502" s="74"/>
      <c r="O502" s="74"/>
      <c r="P502" s="74"/>
      <c r="Q502" s="74"/>
      <c r="R502" s="66"/>
      <c r="S502" s="66"/>
      <c r="T502" s="66"/>
      <c r="U502" s="66"/>
      <c r="V502" s="66"/>
      <c r="W502" s="66"/>
    </row>
    <row r="503" spans="1:23" s="7" customFormat="1" ht="12" customHeight="1">
      <c r="A503" s="20"/>
      <c r="C503" s="7" t="s">
        <v>1</v>
      </c>
      <c r="D503" s="60">
        <f aca="true" t="shared" si="341" ref="D503:Q503">D$133</f>
        <v>0.09</v>
      </c>
      <c r="E503" s="60">
        <f t="shared" si="341"/>
        <v>0.09</v>
      </c>
      <c r="F503" s="60">
        <f t="shared" si="341"/>
        <v>0.09</v>
      </c>
      <c r="G503" s="60">
        <f t="shared" si="341"/>
        <v>0.09</v>
      </c>
      <c r="H503" s="60">
        <f t="shared" si="341"/>
        <v>0.09</v>
      </c>
      <c r="I503" s="60">
        <f t="shared" si="341"/>
        <v>0.09</v>
      </c>
      <c r="J503" s="60">
        <f t="shared" si="341"/>
        <v>0.09</v>
      </c>
      <c r="K503" s="60">
        <f t="shared" si="341"/>
        <v>0.09</v>
      </c>
      <c r="L503" s="60">
        <f t="shared" si="341"/>
        <v>0.09</v>
      </c>
      <c r="M503" s="60">
        <f t="shared" si="341"/>
        <v>0.09</v>
      </c>
      <c r="N503" s="60">
        <f t="shared" si="341"/>
        <v>0.09</v>
      </c>
      <c r="O503" s="60">
        <f t="shared" si="341"/>
        <v>0.09</v>
      </c>
      <c r="P503" s="60">
        <f t="shared" si="341"/>
        <v>0.09</v>
      </c>
      <c r="Q503" s="60">
        <f t="shared" si="341"/>
        <v>0.09</v>
      </c>
      <c r="R503" s="66"/>
      <c r="S503" s="66"/>
      <c r="T503" s="66"/>
      <c r="U503" s="66"/>
      <c r="V503" s="66"/>
      <c r="W503" s="66"/>
    </row>
    <row r="504" spans="1:17" ht="12" customHeight="1" hidden="1">
      <c r="A504" s="20"/>
      <c r="C504" s="26" t="s">
        <v>143</v>
      </c>
      <c r="D504" s="14">
        <v>1</v>
      </c>
      <c r="E504" s="14">
        <f>1/(1+D503)</f>
        <v>0.9174311926605504</v>
      </c>
      <c r="F504" s="55">
        <f aca="true" t="shared" si="342" ref="F504:Q504">E504/(1+E503)</f>
        <v>0.84167999326656</v>
      </c>
      <c r="G504" s="117">
        <f t="shared" si="342"/>
        <v>0.7721834800610641</v>
      </c>
      <c r="H504" s="55">
        <f t="shared" si="342"/>
        <v>0.7084252110651964</v>
      </c>
      <c r="I504" s="55">
        <f t="shared" si="342"/>
        <v>0.6499313862983452</v>
      </c>
      <c r="J504" s="55">
        <f t="shared" si="342"/>
        <v>0.5962673268792158</v>
      </c>
      <c r="K504" s="55">
        <f t="shared" si="342"/>
        <v>0.5470342448433172</v>
      </c>
      <c r="L504" s="55">
        <f t="shared" si="342"/>
        <v>0.501866279672768</v>
      </c>
      <c r="M504" s="117">
        <f t="shared" si="342"/>
        <v>0.4604277795163009</v>
      </c>
      <c r="N504" s="55">
        <f t="shared" si="342"/>
        <v>0.42241080689568883</v>
      </c>
      <c r="O504" s="55">
        <f t="shared" si="342"/>
        <v>0.38753285036301727</v>
      </c>
      <c r="P504" s="55">
        <f t="shared" si="342"/>
        <v>0.35553472510368556</v>
      </c>
      <c r="Q504" s="55">
        <f t="shared" si="342"/>
        <v>0.3261786468841152</v>
      </c>
    </row>
    <row r="505" spans="1:17" ht="12" customHeight="1" hidden="1">
      <c r="A505" s="20"/>
      <c r="B505" s="51"/>
      <c r="C505" s="51" t="s">
        <v>81</v>
      </c>
      <c r="D505" s="51"/>
      <c r="E505" s="28">
        <f aca="true" t="shared" si="343" ref="E505:P505">E500</f>
        <v>37.99999999999997</v>
      </c>
      <c r="F505" s="28">
        <f t="shared" si="343"/>
        <v>-132.00000000000003</v>
      </c>
      <c r="G505" s="122">
        <f t="shared" si="343"/>
        <v>62.99999999999996</v>
      </c>
      <c r="H505" s="28">
        <f t="shared" si="343"/>
        <v>95.02999999999996</v>
      </c>
      <c r="I505" s="28">
        <f t="shared" si="343"/>
        <v>97.88789999999962</v>
      </c>
      <c r="J505" s="28">
        <f t="shared" si="343"/>
        <v>100.56978366666648</v>
      </c>
      <c r="K505" s="28">
        <f t="shared" si="343"/>
        <v>103.58687717666629</v>
      </c>
      <c r="L505" s="28">
        <f t="shared" si="343"/>
        <v>106.69448349196702</v>
      </c>
      <c r="M505" s="28">
        <f t="shared" si="343"/>
        <v>109.89531799672508</v>
      </c>
      <c r="N505" s="28">
        <f t="shared" si="343"/>
        <v>113.1921775366272</v>
      </c>
      <c r="O505" s="28">
        <f t="shared" si="343"/>
        <v>116.58794286272618</v>
      </c>
      <c r="P505" s="28">
        <f t="shared" si="343"/>
        <v>120.08558114860891</v>
      </c>
      <c r="Q505" s="1">
        <f>P505*(1+O$8)+P505*(1+O$8)*(1+O$8)/(P503-O$8)</f>
        <v>2247.0013659257206</v>
      </c>
    </row>
    <row r="506" spans="1:17" ht="12" customHeight="1" hidden="1">
      <c r="A506" s="20"/>
      <c r="C506" s="26" t="s">
        <v>144</v>
      </c>
      <c r="D506" s="1"/>
      <c r="E506" s="1">
        <f aca="true" t="shared" si="344" ref="E506:Q506">E505*E504</f>
        <v>34.86238532110089</v>
      </c>
      <c r="F506" s="1">
        <f t="shared" si="344"/>
        <v>-111.10175911118594</v>
      </c>
      <c r="G506" s="36">
        <f t="shared" si="344"/>
        <v>48.647559243847006</v>
      </c>
      <c r="H506" s="1">
        <f t="shared" si="344"/>
        <v>67.32164780752558</v>
      </c>
      <c r="I506" s="1">
        <f t="shared" si="344"/>
        <v>63.62041854883354</v>
      </c>
      <c r="J506" s="1">
        <f t="shared" si="344"/>
        <v>59.96647607174424</v>
      </c>
      <c r="K506" s="1">
        <f t="shared" si="344"/>
        <v>56.665569132015094</v>
      </c>
      <c r="L506" s="1">
        <f t="shared" si="344"/>
        <v>53.546363491721046</v>
      </c>
      <c r="M506" s="36">
        <f t="shared" si="344"/>
        <v>50.598857244469905</v>
      </c>
      <c r="N506" s="1">
        <f t="shared" si="344"/>
        <v>47.81359904752676</v>
      </c>
      <c r="O506" s="1">
        <f t="shared" si="344"/>
        <v>45.181657815552875</v>
      </c>
      <c r="P506" s="1">
        <f t="shared" si="344"/>
        <v>42.694594082586995</v>
      </c>
      <c r="Q506" s="1">
        <f t="shared" si="344"/>
        <v>732.9238650844101</v>
      </c>
    </row>
    <row r="507" spans="1:17" ht="12" customHeight="1">
      <c r="A507" s="20">
        <v>49</v>
      </c>
      <c r="C507" s="56" t="s">
        <v>166</v>
      </c>
      <c r="D507" s="46">
        <f>SUM(E506:$Q506)/D504</f>
        <v>1192.741233780148</v>
      </c>
      <c r="E507" s="46">
        <f>SUM(F506:$Q506)/E504</f>
        <v>1262.0879448203614</v>
      </c>
      <c r="F507" s="46">
        <f>SUM(G506:$Q506)/F504</f>
        <v>1507.6758598541942</v>
      </c>
      <c r="G507" s="33">
        <f>SUM(H506:$Q506)/G504</f>
        <v>1580.3666872410718</v>
      </c>
      <c r="H507" s="46">
        <f>SUM(I506:$Q506)/H504</f>
        <v>1627.5696890927684</v>
      </c>
      <c r="I507" s="46">
        <f>SUM(J506:$Q506)/I504</f>
        <v>1676.1630611111182</v>
      </c>
      <c r="J507" s="46">
        <f>SUM(K506:$Q506)/J504</f>
        <v>1726.4479529444525</v>
      </c>
      <c r="K507" s="46">
        <f>SUM(L506:$Q506)/K504</f>
        <v>1778.241391532787</v>
      </c>
      <c r="L507" s="46">
        <f>SUM(M506:$Q506)/L504</f>
        <v>1831.588633278771</v>
      </c>
      <c r="M507" s="33">
        <f>SUM(N506:$Q506)/M504</f>
        <v>1886.5362922771355</v>
      </c>
      <c r="N507" s="46">
        <f>SUM(O506:$Q506)/N504</f>
        <v>1943.1323810454508</v>
      </c>
      <c r="O507" s="46">
        <f>SUM(P506:$Q506)/O504</f>
        <v>2001.426352476815</v>
      </c>
      <c r="P507" s="46">
        <f>SUM(Q506:$Q506)/P504</f>
        <v>2061.4691430511198</v>
      </c>
      <c r="Q507" s="46"/>
    </row>
    <row r="508" spans="1:16" ht="12.75" customHeight="1">
      <c r="A508" s="20"/>
      <c r="D508" s="50"/>
      <c r="E508" s="50"/>
      <c r="F508" s="50"/>
      <c r="G508" s="199"/>
      <c r="H508" s="50"/>
      <c r="I508" s="50"/>
      <c r="J508" s="50"/>
      <c r="K508" s="50"/>
      <c r="L508" s="50"/>
      <c r="M508" s="38"/>
      <c r="N508" s="50"/>
      <c r="O508" s="50"/>
      <c r="P508" s="50"/>
    </row>
    <row r="509" spans="1:23" s="7" customFormat="1" ht="12" customHeight="1">
      <c r="A509" s="20"/>
      <c r="C509" s="7" t="s">
        <v>1</v>
      </c>
      <c r="D509" s="60">
        <f aca="true" t="shared" si="345" ref="D509:Q509">D$133</f>
        <v>0.09</v>
      </c>
      <c r="E509" s="60">
        <f t="shared" si="345"/>
        <v>0.09</v>
      </c>
      <c r="F509" s="60">
        <f t="shared" si="345"/>
        <v>0.09</v>
      </c>
      <c r="G509" s="60">
        <f t="shared" si="345"/>
        <v>0.09</v>
      </c>
      <c r="H509" s="60">
        <f t="shared" si="345"/>
        <v>0.09</v>
      </c>
      <c r="I509" s="60">
        <f t="shared" si="345"/>
        <v>0.09</v>
      </c>
      <c r="J509" s="60">
        <f t="shared" si="345"/>
        <v>0.09</v>
      </c>
      <c r="K509" s="60">
        <f t="shared" si="345"/>
        <v>0.09</v>
      </c>
      <c r="L509" s="60">
        <f t="shared" si="345"/>
        <v>0.09</v>
      </c>
      <c r="M509" s="60">
        <f t="shared" si="345"/>
        <v>0.09</v>
      </c>
      <c r="N509" s="60">
        <f t="shared" si="345"/>
        <v>0.09</v>
      </c>
      <c r="O509" s="60">
        <f t="shared" si="345"/>
        <v>0.09</v>
      </c>
      <c r="P509" s="60">
        <f t="shared" si="345"/>
        <v>0.09</v>
      </c>
      <c r="Q509" s="60">
        <f t="shared" si="345"/>
        <v>0.09</v>
      </c>
      <c r="R509" s="66"/>
      <c r="S509" s="66"/>
      <c r="T509" s="66"/>
      <c r="U509" s="66"/>
      <c r="V509" s="66"/>
      <c r="W509" s="66"/>
    </row>
    <row r="510" spans="1:17" ht="10.5" customHeight="1" hidden="1">
      <c r="A510" s="20"/>
      <c r="C510" s="26" t="s">
        <v>147</v>
      </c>
      <c r="D510" s="14">
        <v>1</v>
      </c>
      <c r="E510" s="14">
        <f>1/(1+D509)</f>
        <v>0.9174311926605504</v>
      </c>
      <c r="F510" s="14">
        <f aca="true" t="shared" si="346" ref="F510:Q510">E510/(1+E509)</f>
        <v>0.84167999326656</v>
      </c>
      <c r="G510" s="119">
        <f t="shared" si="346"/>
        <v>0.7721834800610641</v>
      </c>
      <c r="H510" s="14">
        <f t="shared" si="346"/>
        <v>0.7084252110651964</v>
      </c>
      <c r="I510" s="14">
        <f t="shared" si="346"/>
        <v>0.6499313862983452</v>
      </c>
      <c r="J510" s="14">
        <f t="shared" si="346"/>
        <v>0.5962673268792158</v>
      </c>
      <c r="K510" s="14">
        <f t="shared" si="346"/>
        <v>0.5470342448433172</v>
      </c>
      <c r="L510" s="14">
        <f t="shared" si="346"/>
        <v>0.501866279672768</v>
      </c>
      <c r="M510" s="119">
        <f t="shared" si="346"/>
        <v>0.4604277795163009</v>
      </c>
      <c r="N510" s="14">
        <f t="shared" si="346"/>
        <v>0.42241080689568883</v>
      </c>
      <c r="O510" s="14">
        <f t="shared" si="346"/>
        <v>0.38753285036301727</v>
      </c>
      <c r="P510" s="14">
        <f t="shared" si="346"/>
        <v>0.35553472510368556</v>
      </c>
      <c r="Q510" s="14">
        <f t="shared" si="346"/>
        <v>0.3261786468841152</v>
      </c>
    </row>
    <row r="511" spans="1:17" ht="10.5" customHeight="1" hidden="1">
      <c r="A511" s="54"/>
      <c r="B511" s="51"/>
      <c r="C511" s="51" t="s">
        <v>82</v>
      </c>
      <c r="D511" s="51"/>
      <c r="E511" s="51">
        <f aca="true" t="shared" si="347" ref="E511:P511">E501</f>
        <v>127.99999999999997</v>
      </c>
      <c r="F511" s="51">
        <f t="shared" si="347"/>
        <v>-142</v>
      </c>
      <c r="G511" s="120">
        <f t="shared" si="347"/>
        <v>161.99999999999997</v>
      </c>
      <c r="H511" s="51">
        <f t="shared" si="347"/>
        <v>161.03000000000003</v>
      </c>
      <c r="I511" s="51">
        <f t="shared" si="347"/>
        <v>165.86789999999965</v>
      </c>
      <c r="J511" s="51">
        <f t="shared" si="347"/>
        <v>170.58918366666646</v>
      </c>
      <c r="K511" s="51">
        <f t="shared" si="347"/>
        <v>175.70685917666623</v>
      </c>
      <c r="L511" s="51">
        <f t="shared" si="347"/>
        <v>180.97806495196696</v>
      </c>
      <c r="M511" s="120">
        <f t="shared" si="347"/>
        <v>186.40740690052502</v>
      </c>
      <c r="N511" s="51">
        <f t="shared" si="347"/>
        <v>191.99962910754124</v>
      </c>
      <c r="O511" s="51">
        <f t="shared" si="347"/>
        <v>197.75961798076764</v>
      </c>
      <c r="P511" s="51">
        <f t="shared" si="347"/>
        <v>203.6924065201917</v>
      </c>
      <c r="Q511" s="1">
        <f>P511*(1+O$8)+P511*(1+O$8)*(1+O$8)/(P509-O$8)</f>
        <v>3811.424413336987</v>
      </c>
    </row>
    <row r="512" spans="1:17" ht="10.5" customHeight="1" hidden="1">
      <c r="A512" s="20"/>
      <c r="C512" s="26" t="s">
        <v>127</v>
      </c>
      <c r="D512" s="1"/>
      <c r="E512" s="1">
        <f aca="true" t="shared" si="348" ref="E512:Q512">E511*E510</f>
        <v>117.43119266055042</v>
      </c>
      <c r="F512" s="1">
        <f t="shared" si="348"/>
        <v>-119.51855904385151</v>
      </c>
      <c r="G512" s="36">
        <f t="shared" si="348"/>
        <v>125.09372376989236</v>
      </c>
      <c r="H512" s="1">
        <f t="shared" si="348"/>
        <v>114.0777117378286</v>
      </c>
      <c r="I512" s="1">
        <f t="shared" si="348"/>
        <v>107.80275418939507</v>
      </c>
      <c r="J512" s="1">
        <f t="shared" si="348"/>
        <v>101.71675653943079</v>
      </c>
      <c r="K512" s="1">
        <f t="shared" si="348"/>
        <v>96.11766902349869</v>
      </c>
      <c r="L512" s="1">
        <f t="shared" si="348"/>
        <v>90.82678815982021</v>
      </c>
      <c r="M512" s="36">
        <f t="shared" si="348"/>
        <v>85.82714844460031</v>
      </c>
      <c r="N512" s="1">
        <f t="shared" si="348"/>
        <v>81.10271825498948</v>
      </c>
      <c r="O512" s="1">
        <f t="shared" si="348"/>
        <v>76.63834844278828</v>
      </c>
      <c r="P512" s="1">
        <f t="shared" si="348"/>
        <v>72.41972375786452</v>
      </c>
      <c r="Q512" s="1">
        <f t="shared" si="348"/>
        <v>1243.205257843341</v>
      </c>
    </row>
    <row r="513" spans="1:17" ht="10.5" customHeight="1">
      <c r="A513" s="20">
        <v>52</v>
      </c>
      <c r="B513" s="4" t="s">
        <v>167</v>
      </c>
      <c r="C513" s="51" t="s">
        <v>168</v>
      </c>
      <c r="D513" s="22">
        <f>SUM(E512:$Q512)/D510</f>
        <v>2192.7412337801484</v>
      </c>
      <c r="E513" s="22">
        <f>SUM(F512:$Q512)/E510</f>
        <v>2262.087944820362</v>
      </c>
      <c r="F513" s="22">
        <f>SUM(G512:$Q512)/F510</f>
        <v>2607.675859854194</v>
      </c>
      <c r="G513" s="111">
        <f>SUM(H512:$Q512)/G510</f>
        <v>2680.366687241072</v>
      </c>
      <c r="H513" s="22">
        <f>SUM(I512:$Q512)/H510</f>
        <v>2760.569689092769</v>
      </c>
      <c r="I513" s="22">
        <f>SUM(J512:$Q512)/I510</f>
        <v>2843.153061111119</v>
      </c>
      <c r="J513" s="22">
        <f>SUM(K512:$Q512)/J510</f>
        <v>2928.4476529444532</v>
      </c>
      <c r="K513" s="22">
        <f>SUM(L512:$Q512)/K510</f>
        <v>3016.301082532788</v>
      </c>
      <c r="L513" s="22">
        <f>SUM(M512:$Q512)/L510</f>
        <v>3106.790115008773</v>
      </c>
      <c r="M513" s="111">
        <f>SUM(N512:$Q512)/M510</f>
        <v>3199.9938184590374</v>
      </c>
      <c r="N513" s="22">
        <f>SUM(O512:$Q512)/N510</f>
        <v>3295.99363301281</v>
      </c>
      <c r="O513" s="22">
        <f>SUM(P512:$Q512)/O510</f>
        <v>3394.8734420031947</v>
      </c>
      <c r="P513" s="22">
        <f>SUM(Q512:$Q512)/P510</f>
        <v>3496.719645263291</v>
      </c>
      <c r="Q513" s="22"/>
    </row>
    <row r="514" spans="1:17" ht="12.75" customHeight="1">
      <c r="A514" s="20">
        <v>53</v>
      </c>
      <c r="B514" s="4" t="s">
        <v>138</v>
      </c>
      <c r="C514" s="47" t="s">
        <v>169</v>
      </c>
      <c r="D514" s="46">
        <f>D513-D$144</f>
        <v>1192.7412337801477</v>
      </c>
      <c r="E514" s="46">
        <f aca="true" t="shared" si="349" ref="E514:P514">E513-E$144</f>
        <v>1262.087944820361</v>
      </c>
      <c r="F514" s="46">
        <f t="shared" si="349"/>
        <v>1507.6758598541933</v>
      </c>
      <c r="G514" s="46">
        <f t="shared" si="349"/>
        <v>1580.366687241071</v>
      </c>
      <c r="H514" s="46">
        <f t="shared" si="349"/>
        <v>1627.5696890927677</v>
      </c>
      <c r="I514" s="46">
        <f t="shared" si="349"/>
        <v>1676.1630611111175</v>
      </c>
      <c r="J514" s="46">
        <f t="shared" si="349"/>
        <v>1726.4479529444516</v>
      </c>
      <c r="K514" s="46">
        <f t="shared" si="349"/>
        <v>1778.241391532786</v>
      </c>
      <c r="L514" s="46">
        <f t="shared" si="349"/>
        <v>1831.5886332787709</v>
      </c>
      <c r="M514" s="46">
        <f t="shared" si="349"/>
        <v>1886.5362922771353</v>
      </c>
      <c r="N514" s="46">
        <f t="shared" si="349"/>
        <v>1943.1323810454503</v>
      </c>
      <c r="O514" s="46">
        <f t="shared" si="349"/>
        <v>2001.4263524768141</v>
      </c>
      <c r="P514" s="46">
        <f t="shared" si="349"/>
        <v>2061.4691430511193</v>
      </c>
      <c r="Q514" s="24"/>
    </row>
    <row r="515" spans="1:16" ht="12.75" customHeight="1">
      <c r="A515" s="20"/>
      <c r="B515" s="181"/>
      <c r="C515" s="113"/>
      <c r="D515" s="113"/>
      <c r="E515" s="113"/>
      <c r="F515" s="125"/>
      <c r="G515" s="196"/>
      <c r="H515" s="52"/>
      <c r="I515" s="52"/>
      <c r="J515" s="52"/>
      <c r="K515" s="52"/>
      <c r="L515" s="52"/>
      <c r="M515" s="125"/>
      <c r="N515" s="52"/>
      <c r="O515" s="52"/>
      <c r="P515" s="52"/>
    </row>
    <row r="516" spans="1:16" ht="12.75" customHeight="1">
      <c r="A516" s="20"/>
      <c r="B516" s="181"/>
      <c r="C516" s="113"/>
      <c r="D516" s="113"/>
      <c r="E516" s="113"/>
      <c r="F516" s="125"/>
      <c r="G516" s="196"/>
      <c r="H516" s="52"/>
      <c r="I516" s="52"/>
      <c r="J516" s="52"/>
      <c r="K516" s="52"/>
      <c r="L516" s="52"/>
      <c r="M516" s="125"/>
      <c r="N516" s="52"/>
      <c r="O516" s="52"/>
      <c r="P516" s="52"/>
    </row>
    <row r="517" spans="1:16" ht="12.75" customHeight="1">
      <c r="A517" s="20"/>
      <c r="B517" s="181"/>
      <c r="C517" s="113"/>
      <c r="D517" s="113"/>
      <c r="E517" s="113"/>
      <c r="F517" s="125"/>
      <c r="G517" s="196"/>
      <c r="H517" s="52"/>
      <c r="I517" s="52"/>
      <c r="J517" s="52"/>
      <c r="K517" s="52"/>
      <c r="L517" s="52"/>
      <c r="M517" s="125"/>
      <c r="N517" s="52"/>
      <c r="O517" s="52"/>
      <c r="P517" s="52"/>
    </row>
    <row r="518" spans="1:16" ht="12.75" customHeight="1">
      <c r="A518" s="20"/>
      <c r="B518" s="181"/>
      <c r="C518" s="113"/>
      <c r="D518" s="113"/>
      <c r="E518" s="113"/>
      <c r="F518" s="125"/>
      <c r="G518" s="196"/>
      <c r="H518" s="52"/>
      <c r="I518" s="52"/>
      <c r="J518" s="52"/>
      <c r="K518" s="52"/>
      <c r="L518" s="52"/>
      <c r="M518" s="125"/>
      <c r="N518" s="52"/>
      <c r="O518" s="52"/>
      <c r="P518" s="52"/>
    </row>
    <row r="519" spans="1:16" ht="12.75" customHeight="1">
      <c r="A519" s="20"/>
      <c r="B519" s="181"/>
      <c r="C519" s="113"/>
      <c r="D519" s="113"/>
      <c r="E519" s="113"/>
      <c r="F519" s="125"/>
      <c r="G519" s="196"/>
      <c r="H519" s="52"/>
      <c r="I519" s="52"/>
      <c r="J519" s="52"/>
      <c r="K519" s="52"/>
      <c r="L519" s="52"/>
      <c r="M519" s="125"/>
      <c r="N519" s="52"/>
      <c r="O519" s="52"/>
      <c r="P519" s="52"/>
    </row>
    <row r="520" spans="1:16" ht="12.75" customHeight="1">
      <c r="A520" s="20"/>
      <c r="B520" s="181"/>
      <c r="C520" s="113"/>
      <c r="D520" s="113"/>
      <c r="E520" s="113"/>
      <c r="F520" s="125"/>
      <c r="G520" s="196"/>
      <c r="H520" s="52"/>
      <c r="I520" s="52"/>
      <c r="J520" s="52"/>
      <c r="K520" s="52"/>
      <c r="L520" s="52"/>
      <c r="M520" s="125"/>
      <c r="N520" s="52"/>
      <c r="O520" s="52"/>
      <c r="P520" s="52"/>
    </row>
    <row r="521" spans="1:16" ht="12.75" customHeight="1">
      <c r="A521" s="20"/>
      <c r="B521" s="181"/>
      <c r="C521" s="113"/>
      <c r="D521" s="113"/>
      <c r="E521" s="113"/>
      <c r="F521" s="125"/>
      <c r="G521" s="196"/>
      <c r="H521" s="52"/>
      <c r="I521" s="52"/>
      <c r="J521" s="52"/>
      <c r="K521" s="52"/>
      <c r="L521" s="52"/>
      <c r="M521" s="125"/>
      <c r="N521" s="52"/>
      <c r="O521" s="52"/>
      <c r="P521" s="52"/>
    </row>
    <row r="522" spans="1:16" ht="12.75" customHeight="1">
      <c r="A522" s="20"/>
      <c r="B522" s="181"/>
      <c r="C522" s="113"/>
      <c r="D522" s="113"/>
      <c r="E522" s="113"/>
      <c r="F522" s="125"/>
      <c r="G522" s="196"/>
      <c r="H522" s="52"/>
      <c r="I522" s="52"/>
      <c r="J522" s="52"/>
      <c r="K522" s="52"/>
      <c r="L522" s="52"/>
      <c r="M522" s="125"/>
      <c r="N522" s="52"/>
      <c r="O522" s="52"/>
      <c r="P522" s="52"/>
    </row>
    <row r="523" spans="1:16" ht="12.75" customHeight="1">
      <c r="A523" s="20"/>
      <c r="B523" s="181"/>
      <c r="C523" s="113"/>
      <c r="D523" s="113"/>
      <c r="E523" s="113"/>
      <c r="F523" s="125"/>
      <c r="G523" s="196"/>
      <c r="H523" s="52"/>
      <c r="I523" s="52"/>
      <c r="J523" s="52"/>
      <c r="K523" s="52"/>
      <c r="L523" s="52"/>
      <c r="M523" s="125"/>
      <c r="N523" s="52"/>
      <c r="O523" s="52"/>
      <c r="P523" s="52"/>
    </row>
    <row r="524" spans="1:16" ht="12.75" customHeight="1">
      <c r="A524" s="20"/>
      <c r="B524" s="181"/>
      <c r="C524" s="113"/>
      <c r="D524" s="113"/>
      <c r="E524" s="113"/>
      <c r="F524" s="125"/>
      <c r="G524" s="196"/>
      <c r="H524" s="52"/>
      <c r="I524" s="52"/>
      <c r="J524" s="52"/>
      <c r="K524" s="52"/>
      <c r="L524" s="52"/>
      <c r="M524" s="125"/>
      <c r="N524" s="52"/>
      <c r="O524" s="52"/>
      <c r="P524" s="52"/>
    </row>
    <row r="525" spans="1:9" ht="15.75" customHeight="1" thickBot="1">
      <c r="A525" s="20"/>
      <c r="B525" s="27"/>
      <c r="C525" s="27"/>
      <c r="D525" s="27"/>
      <c r="E525" s="27"/>
      <c r="F525" s="27"/>
      <c r="G525" s="32"/>
      <c r="H525" s="16"/>
      <c r="I525" s="134" t="s">
        <v>247</v>
      </c>
    </row>
    <row r="526" spans="1:15" ht="12.75" customHeight="1" thickBot="1">
      <c r="A526" s="20"/>
      <c r="B526" s="27"/>
      <c r="C526" s="27"/>
      <c r="D526" s="27"/>
      <c r="E526" s="27"/>
      <c r="F526" s="27"/>
      <c r="G526" s="32"/>
      <c r="H526" s="16"/>
      <c r="N526" s="162" t="s">
        <v>45</v>
      </c>
      <c r="O526" s="163">
        <v>0.05</v>
      </c>
    </row>
    <row r="527" spans="1:17" ht="12" customHeight="1" thickBot="1">
      <c r="A527" s="20"/>
      <c r="B527"/>
      <c r="C527"/>
      <c r="D527" s="127">
        <v>0</v>
      </c>
      <c r="E527" s="127">
        <v>1</v>
      </c>
      <c r="F527" s="127">
        <f aca="true" t="shared" si="350" ref="F527:Q527">E527+1</f>
        <v>2</v>
      </c>
      <c r="G527" s="137">
        <f t="shared" si="350"/>
        <v>3</v>
      </c>
      <c r="H527" s="127">
        <f t="shared" si="350"/>
        <v>4</v>
      </c>
      <c r="I527" s="127">
        <f t="shared" si="350"/>
        <v>5</v>
      </c>
      <c r="J527" s="127">
        <f t="shared" si="350"/>
        <v>6</v>
      </c>
      <c r="K527" s="127">
        <f t="shared" si="350"/>
        <v>7</v>
      </c>
      <c r="L527" s="127">
        <f t="shared" si="350"/>
        <v>8</v>
      </c>
      <c r="M527" s="137">
        <f t="shared" si="350"/>
        <v>9</v>
      </c>
      <c r="N527" s="127">
        <f t="shared" si="350"/>
        <v>10</v>
      </c>
      <c r="O527" s="127">
        <f t="shared" si="350"/>
        <v>11</v>
      </c>
      <c r="P527" s="127">
        <f t="shared" si="350"/>
        <v>12</v>
      </c>
      <c r="Q527" s="127">
        <f t="shared" si="350"/>
        <v>13</v>
      </c>
    </row>
    <row r="528" spans="1:17" ht="12" customHeight="1">
      <c r="A528" s="54">
        <v>27</v>
      </c>
      <c r="B528" s="51"/>
      <c r="C528" s="47" t="s">
        <v>81</v>
      </c>
      <c r="D528" s="51"/>
      <c r="E528" s="72">
        <f aca="true" t="shared" si="351" ref="E528:Q528">E55</f>
        <v>68</v>
      </c>
      <c r="F528" s="72">
        <f t="shared" si="351"/>
        <v>-102</v>
      </c>
      <c r="G528" s="73">
        <f t="shared" si="351"/>
        <v>96</v>
      </c>
      <c r="H528" s="72">
        <f t="shared" si="351"/>
        <v>128.03000000000003</v>
      </c>
      <c r="I528" s="72">
        <f t="shared" si="351"/>
        <v>131.87789999999967</v>
      </c>
      <c r="J528" s="72">
        <f t="shared" si="351"/>
        <v>135.57948366666653</v>
      </c>
      <c r="K528" s="72">
        <f t="shared" si="351"/>
        <v>139.64686817666637</v>
      </c>
      <c r="L528" s="72">
        <f t="shared" si="351"/>
        <v>143.83627422196707</v>
      </c>
      <c r="M528" s="72">
        <f t="shared" si="351"/>
        <v>148.15136244862515</v>
      </c>
      <c r="N528" s="72">
        <f t="shared" si="351"/>
        <v>152.59590332208427</v>
      </c>
      <c r="O528" s="72">
        <f t="shared" si="351"/>
        <v>157.17378042174698</v>
      </c>
      <c r="P528" s="72">
        <f t="shared" si="351"/>
        <v>161.88899383440037</v>
      </c>
      <c r="Q528" s="72">
        <f t="shared" si="351"/>
        <v>166.74566364943018</v>
      </c>
    </row>
    <row r="529" spans="1:23" s="7" customFormat="1" ht="12" customHeight="1">
      <c r="A529" s="54">
        <v>28</v>
      </c>
      <c r="B529" s="47"/>
      <c r="C529" s="47" t="s">
        <v>82</v>
      </c>
      <c r="D529" s="47"/>
      <c r="E529" s="72">
        <f aca="true" t="shared" si="352" ref="E529:Q529">E56</f>
        <v>110</v>
      </c>
      <c r="F529" s="72">
        <f t="shared" si="352"/>
        <v>-160</v>
      </c>
      <c r="G529" s="73">
        <f t="shared" si="352"/>
        <v>142.2</v>
      </c>
      <c r="H529" s="72">
        <f t="shared" si="352"/>
        <v>141.23000000000002</v>
      </c>
      <c r="I529" s="72">
        <f t="shared" si="352"/>
        <v>145.47389999999967</v>
      </c>
      <c r="J529" s="72">
        <f t="shared" si="352"/>
        <v>149.58336366666646</v>
      </c>
      <c r="K529" s="72">
        <f t="shared" si="352"/>
        <v>154.07086457666628</v>
      </c>
      <c r="L529" s="72">
        <f t="shared" si="352"/>
        <v>158.69299051396695</v>
      </c>
      <c r="M529" s="72">
        <f t="shared" si="352"/>
        <v>163.45378022938502</v>
      </c>
      <c r="N529" s="72">
        <f t="shared" si="352"/>
        <v>168.35739363626706</v>
      </c>
      <c r="O529" s="72">
        <f t="shared" si="352"/>
        <v>173.40811544535524</v>
      </c>
      <c r="P529" s="72">
        <f t="shared" si="352"/>
        <v>178.61035890871696</v>
      </c>
      <c r="Q529" s="72">
        <f t="shared" si="352"/>
        <v>183.96866967597617</v>
      </c>
      <c r="R529" s="66"/>
      <c r="S529" s="66"/>
      <c r="T529" s="66"/>
      <c r="U529" s="66"/>
      <c r="V529" s="66"/>
      <c r="W529" s="66"/>
    </row>
    <row r="530" spans="1:23" s="7" customFormat="1" ht="12" customHeight="1">
      <c r="A530" s="54">
        <v>29</v>
      </c>
      <c r="B530" s="47"/>
      <c r="C530" s="47" t="s">
        <v>83</v>
      </c>
      <c r="D530" s="47"/>
      <c r="E530" s="72">
        <f aca="true" t="shared" si="353" ref="E530:Q530">E57</f>
        <v>60</v>
      </c>
      <c r="F530" s="72">
        <f t="shared" si="353"/>
        <v>-40</v>
      </c>
      <c r="G530" s="73">
        <f t="shared" si="353"/>
        <v>66</v>
      </c>
      <c r="H530" s="72">
        <f t="shared" si="353"/>
        <v>33</v>
      </c>
      <c r="I530" s="72">
        <f t="shared" si="353"/>
        <v>33.989999999999995</v>
      </c>
      <c r="J530" s="72">
        <f t="shared" si="353"/>
        <v>35.00969999999994</v>
      </c>
      <c r="K530" s="72">
        <f t="shared" si="353"/>
        <v>36.059990999999926</v>
      </c>
      <c r="L530" s="72">
        <f t="shared" si="353"/>
        <v>37.14179072999987</v>
      </c>
      <c r="M530" s="72">
        <f t="shared" si="353"/>
        <v>38.25604445189987</v>
      </c>
      <c r="N530" s="72">
        <f t="shared" si="353"/>
        <v>39.403725785457</v>
      </c>
      <c r="O530" s="72">
        <f t="shared" si="353"/>
        <v>40.585837559020675</v>
      </c>
      <c r="P530" s="72">
        <f t="shared" si="353"/>
        <v>41.803412685791415</v>
      </c>
      <c r="Q530" s="72">
        <f t="shared" si="353"/>
        <v>1521.3655323449022</v>
      </c>
      <c r="R530" s="66"/>
      <c r="S530" s="66"/>
      <c r="T530" s="66"/>
      <c r="U530" s="66"/>
      <c r="V530" s="66"/>
      <c r="W530" s="66"/>
    </row>
    <row r="531" spans="1:23" s="7" customFormat="1" ht="12" customHeight="1">
      <c r="A531" s="54">
        <v>30</v>
      </c>
      <c r="B531" s="47"/>
      <c r="C531" s="47" t="s">
        <v>84</v>
      </c>
      <c r="D531" s="76"/>
      <c r="E531" s="72">
        <f aca="true" t="shared" si="354" ref="E531:Q531">E58</f>
        <v>128</v>
      </c>
      <c r="F531" s="72">
        <f t="shared" si="354"/>
        <v>-142</v>
      </c>
      <c r="G531" s="73">
        <f t="shared" si="354"/>
        <v>162</v>
      </c>
      <c r="H531" s="72">
        <f t="shared" si="354"/>
        <v>161.03000000000003</v>
      </c>
      <c r="I531" s="72">
        <f t="shared" si="354"/>
        <v>165.86789999999968</v>
      </c>
      <c r="J531" s="72">
        <f t="shared" si="354"/>
        <v>170.5891836666665</v>
      </c>
      <c r="K531" s="72">
        <f t="shared" si="354"/>
        <v>175.70685917666628</v>
      </c>
      <c r="L531" s="72">
        <f t="shared" si="354"/>
        <v>180.97806495196693</v>
      </c>
      <c r="M531" s="72">
        <f t="shared" si="354"/>
        <v>186.40740690052502</v>
      </c>
      <c r="N531" s="72">
        <f t="shared" si="354"/>
        <v>191.99962910754127</v>
      </c>
      <c r="O531" s="72">
        <f t="shared" si="354"/>
        <v>197.75961798076764</v>
      </c>
      <c r="P531" s="72">
        <f t="shared" si="354"/>
        <v>203.69240652019178</v>
      </c>
      <c r="Q531" s="72">
        <f t="shared" si="354"/>
        <v>209.80317871579754</v>
      </c>
      <c r="R531" s="66"/>
      <c r="S531" s="66"/>
      <c r="T531" s="66"/>
      <c r="U531" s="66"/>
      <c r="V531" s="66"/>
      <c r="W531" s="66"/>
    </row>
    <row r="532" spans="1:23" s="7" customFormat="1" ht="12" customHeight="1">
      <c r="A532" s="65"/>
      <c r="B532" s="66"/>
      <c r="C532" s="66"/>
      <c r="D532" s="113"/>
      <c r="E532" s="74"/>
      <c r="F532" s="74"/>
      <c r="G532" s="75"/>
      <c r="H532" s="74"/>
      <c r="I532" s="74"/>
      <c r="J532" s="74"/>
      <c r="K532" s="74"/>
      <c r="L532" s="74"/>
      <c r="M532" s="75"/>
      <c r="N532" s="74"/>
      <c r="O532" s="74"/>
      <c r="P532" s="74"/>
      <c r="Q532" s="74"/>
      <c r="R532" s="66"/>
      <c r="S532" s="66"/>
      <c r="T532" s="66"/>
      <c r="U532" s="66"/>
      <c r="V532" s="66"/>
      <c r="W532" s="66"/>
    </row>
    <row r="533" spans="1:23" s="7" customFormat="1" ht="12" customHeight="1">
      <c r="A533" s="65"/>
      <c r="B533" s="66"/>
      <c r="C533" s="66" t="s">
        <v>248</v>
      </c>
      <c r="D533" s="113"/>
      <c r="E533" s="74">
        <f aca="true" t="shared" si="355" ref="E533:P533">D22*$D$7*$F$1</f>
        <v>18</v>
      </c>
      <c r="F533" s="74">
        <f t="shared" si="355"/>
        <v>18</v>
      </c>
      <c r="G533" s="74">
        <f t="shared" si="355"/>
        <v>19.8</v>
      </c>
      <c r="H533" s="74">
        <f t="shared" si="355"/>
        <v>19.8</v>
      </c>
      <c r="I533" s="74">
        <f t="shared" si="355"/>
        <v>20.394000000000002</v>
      </c>
      <c r="J533" s="74">
        <f t="shared" si="355"/>
        <v>21.00582</v>
      </c>
      <c r="K533" s="74">
        <f t="shared" si="355"/>
        <v>21.6359946</v>
      </c>
      <c r="L533" s="74">
        <f t="shared" si="355"/>
        <v>22.285074438000002</v>
      </c>
      <c r="M533" s="74">
        <f t="shared" si="355"/>
        <v>22.953626671140004</v>
      </c>
      <c r="N533" s="74">
        <f t="shared" si="355"/>
        <v>23.64223547127421</v>
      </c>
      <c r="O533" s="74">
        <f t="shared" si="355"/>
        <v>24.351502535412433</v>
      </c>
      <c r="P533" s="74">
        <f t="shared" si="355"/>
        <v>25.082047611474806</v>
      </c>
      <c r="Q533" s="74"/>
      <c r="R533" s="66"/>
      <c r="S533" s="66"/>
      <c r="T533" s="66"/>
      <c r="U533" s="66"/>
      <c r="V533" s="66"/>
      <c r="W533" s="66"/>
    </row>
    <row r="534" spans="1:23" s="7" customFormat="1" ht="12.75" customHeight="1">
      <c r="A534" s="20">
        <v>48</v>
      </c>
      <c r="C534" s="7" t="s">
        <v>44</v>
      </c>
      <c r="D534" s="60">
        <f>D7</f>
        <v>0.06</v>
      </c>
      <c r="E534" s="60">
        <f aca="true" t="shared" si="356" ref="E534:Q534">D534</f>
        <v>0.06</v>
      </c>
      <c r="F534" s="60">
        <f t="shared" si="356"/>
        <v>0.06</v>
      </c>
      <c r="G534" s="60">
        <f t="shared" si="356"/>
        <v>0.06</v>
      </c>
      <c r="H534" s="60">
        <f t="shared" si="356"/>
        <v>0.06</v>
      </c>
      <c r="I534" s="60">
        <f t="shared" si="356"/>
        <v>0.06</v>
      </c>
      <c r="J534" s="60">
        <f t="shared" si="356"/>
        <v>0.06</v>
      </c>
      <c r="K534" s="60">
        <f t="shared" si="356"/>
        <v>0.06</v>
      </c>
      <c r="L534" s="60">
        <f t="shared" si="356"/>
        <v>0.06</v>
      </c>
      <c r="M534" s="60">
        <f t="shared" si="356"/>
        <v>0.06</v>
      </c>
      <c r="N534" s="60">
        <f t="shared" si="356"/>
        <v>0.06</v>
      </c>
      <c r="O534" s="60">
        <f t="shared" si="356"/>
        <v>0.06</v>
      </c>
      <c r="P534" s="60">
        <f t="shared" si="356"/>
        <v>0.06</v>
      </c>
      <c r="Q534" s="60">
        <f t="shared" si="356"/>
        <v>0.06</v>
      </c>
      <c r="R534" s="66"/>
      <c r="S534" s="66"/>
      <c r="T534" s="66"/>
      <c r="U534" s="66"/>
      <c r="V534" s="66"/>
      <c r="W534" s="66"/>
    </row>
    <row r="535" spans="1:17" ht="12.75" customHeight="1" hidden="1">
      <c r="A535" s="20"/>
      <c r="C535" s="26" t="s">
        <v>131</v>
      </c>
      <c r="D535" s="14">
        <v>1</v>
      </c>
      <c r="E535" s="14">
        <f>1/(1+D534)</f>
        <v>0.9433962264150942</v>
      </c>
      <c r="F535" s="55">
        <f aca="true" t="shared" si="357" ref="F535:Q535">E535/(1+E534)</f>
        <v>0.8899964400142398</v>
      </c>
      <c r="G535" s="117">
        <f t="shared" si="357"/>
        <v>0.8396192830323017</v>
      </c>
      <c r="H535" s="55">
        <f t="shared" si="357"/>
        <v>0.7920936632380204</v>
      </c>
      <c r="I535" s="55">
        <f t="shared" si="357"/>
        <v>0.747258172866057</v>
      </c>
      <c r="J535" s="55">
        <f t="shared" si="357"/>
        <v>0.7049605404396764</v>
      </c>
      <c r="K535" s="55">
        <f t="shared" si="357"/>
        <v>0.6650571136223362</v>
      </c>
      <c r="L535" s="55">
        <f t="shared" si="357"/>
        <v>0.6274123713418266</v>
      </c>
      <c r="M535" s="117">
        <f t="shared" si="357"/>
        <v>0.5918984635300251</v>
      </c>
      <c r="N535" s="55">
        <f t="shared" si="357"/>
        <v>0.558394776915118</v>
      </c>
      <c r="O535" s="55">
        <f t="shared" si="357"/>
        <v>0.5267875253916207</v>
      </c>
      <c r="P535" s="55">
        <f t="shared" si="357"/>
        <v>0.4969693635770006</v>
      </c>
      <c r="Q535" s="55">
        <f t="shared" si="357"/>
        <v>0.4688390222424534</v>
      </c>
    </row>
    <row r="536" spans="1:17" ht="12.75" customHeight="1" hidden="1">
      <c r="A536" s="20"/>
      <c r="B536" s="51"/>
      <c r="C536" s="51" t="s">
        <v>81</v>
      </c>
      <c r="D536" s="51"/>
      <c r="E536" s="28">
        <f aca="true" t="shared" si="358" ref="E536:P536">E533</f>
        <v>18</v>
      </c>
      <c r="F536" s="28">
        <f t="shared" si="358"/>
        <v>18</v>
      </c>
      <c r="G536" s="28">
        <f t="shared" si="358"/>
        <v>19.8</v>
      </c>
      <c r="H536" s="28">
        <f t="shared" si="358"/>
        <v>19.8</v>
      </c>
      <c r="I536" s="28">
        <f t="shared" si="358"/>
        <v>20.394000000000002</v>
      </c>
      <c r="J536" s="28">
        <f t="shared" si="358"/>
        <v>21.00582</v>
      </c>
      <c r="K536" s="28">
        <f t="shared" si="358"/>
        <v>21.6359946</v>
      </c>
      <c r="L536" s="28">
        <f t="shared" si="358"/>
        <v>22.285074438000002</v>
      </c>
      <c r="M536" s="28">
        <f t="shared" si="358"/>
        <v>22.953626671140004</v>
      </c>
      <c r="N536" s="28">
        <f t="shared" si="358"/>
        <v>23.64223547127421</v>
      </c>
      <c r="O536" s="28">
        <f t="shared" si="358"/>
        <v>24.351502535412433</v>
      </c>
      <c r="P536" s="28">
        <f t="shared" si="358"/>
        <v>25.082047611474806</v>
      </c>
      <c r="Q536" s="1">
        <f>P536*(1+O$8)+P536*(1+O$8)*(1+O$8)/(P534-O$8)</f>
        <v>912.8193194069398</v>
      </c>
    </row>
    <row r="537" spans="1:17" ht="12.75" customHeight="1" hidden="1">
      <c r="A537" s="20"/>
      <c r="C537" s="26" t="s">
        <v>144</v>
      </c>
      <c r="D537" s="1"/>
      <c r="E537" s="1">
        <f aca="true" t="shared" si="359" ref="E537:Q537">E536*E535</f>
        <v>16.981132075471695</v>
      </c>
      <c r="F537" s="1">
        <f t="shared" si="359"/>
        <v>16.019935920256316</v>
      </c>
      <c r="G537" s="36">
        <f t="shared" si="359"/>
        <v>16.624461804039573</v>
      </c>
      <c r="H537" s="1">
        <f t="shared" si="359"/>
        <v>15.683454532112805</v>
      </c>
      <c r="I537" s="1">
        <f t="shared" si="359"/>
        <v>15.239583177430369</v>
      </c>
      <c r="J537" s="1">
        <f t="shared" si="359"/>
        <v>14.808274219578562</v>
      </c>
      <c r="K537" s="1">
        <f t="shared" si="359"/>
        <v>14.389172119024453</v>
      </c>
      <c r="L537" s="1">
        <f t="shared" si="359"/>
        <v>13.981931398674705</v>
      </c>
      <c r="M537" s="36">
        <f t="shared" si="359"/>
        <v>13.586216359089573</v>
      </c>
      <c r="N537" s="1">
        <f t="shared" si="359"/>
        <v>13.20170080175685</v>
      </c>
      <c r="O537" s="1">
        <f t="shared" si="359"/>
        <v>12.828067760197692</v>
      </c>
      <c r="P537" s="1">
        <f t="shared" si="359"/>
        <v>12.465009238682663</v>
      </c>
      <c r="Q537" s="1">
        <f t="shared" si="359"/>
        <v>427.96531719477144</v>
      </c>
    </row>
    <row r="538" spans="1:17" ht="12.75" customHeight="1" hidden="1">
      <c r="A538" s="20">
        <v>49</v>
      </c>
      <c r="C538" s="56" t="s">
        <v>249</v>
      </c>
      <c r="D538" s="46">
        <f>SUM(E537:$Q537)/D535</f>
        <v>603.7742566010867</v>
      </c>
      <c r="E538" s="46">
        <f>SUM(F537:$Q537)/E535</f>
        <v>622.0007119971519</v>
      </c>
      <c r="F538" s="46">
        <f>SUM(G537:$Q537)/F535</f>
        <v>641.320754716981</v>
      </c>
      <c r="G538" s="33">
        <f>SUM(H537:$Q537)/G535</f>
        <v>659.9999999999999</v>
      </c>
      <c r="H538" s="46">
        <f>SUM(I537:$Q537)/H535</f>
        <v>679.8</v>
      </c>
      <c r="I538" s="46">
        <f>SUM(J537:$Q537)/I535</f>
        <v>700.1940000000001</v>
      </c>
      <c r="J538" s="46">
        <f>SUM(K537:$Q537)/J535</f>
        <v>721.19982</v>
      </c>
      <c r="K538" s="46">
        <f>SUM(L537:$Q537)/K535</f>
        <v>742.8358146</v>
      </c>
      <c r="L538" s="46">
        <f>SUM(M537:$Q537)/L535</f>
        <v>765.1208890380001</v>
      </c>
      <c r="M538" s="33">
        <f>SUM(N537:$Q537)/M535</f>
        <v>788.0745157091402</v>
      </c>
      <c r="N538" s="46">
        <f>SUM(O537:$Q537)/N535</f>
        <v>811.7167511804143</v>
      </c>
      <c r="O538" s="46">
        <f>SUM(P537:$Q537)/O535</f>
        <v>836.0682537158269</v>
      </c>
      <c r="P538" s="46">
        <f>SUM(Q537:$Q537)/P535</f>
        <v>861.1503013273017</v>
      </c>
      <c r="Q538" s="46"/>
    </row>
    <row r="539" spans="1:17" ht="12.75" customHeight="1">
      <c r="A539" s="20">
        <v>42</v>
      </c>
      <c r="C539" s="26" t="s">
        <v>250</v>
      </c>
      <c r="D539" s="83">
        <f aca="true" t="shared" si="360" ref="D539:P539">D538</f>
        <v>603.7742566010867</v>
      </c>
      <c r="E539" s="83">
        <f t="shared" si="360"/>
        <v>622.0007119971519</v>
      </c>
      <c r="F539" s="83">
        <f t="shared" si="360"/>
        <v>641.320754716981</v>
      </c>
      <c r="G539" s="83">
        <f t="shared" si="360"/>
        <v>659.9999999999999</v>
      </c>
      <c r="H539" s="83">
        <f t="shared" si="360"/>
        <v>679.8</v>
      </c>
      <c r="I539" s="83">
        <f t="shared" si="360"/>
        <v>700.1940000000001</v>
      </c>
      <c r="J539" s="83">
        <f t="shared" si="360"/>
        <v>721.19982</v>
      </c>
      <c r="K539" s="83">
        <f t="shared" si="360"/>
        <v>742.8358146</v>
      </c>
      <c r="L539" s="83">
        <f t="shared" si="360"/>
        <v>765.1208890380001</v>
      </c>
      <c r="M539" s="83">
        <f t="shared" si="360"/>
        <v>788.0745157091402</v>
      </c>
      <c r="N539" s="83">
        <f t="shared" si="360"/>
        <v>811.7167511804143</v>
      </c>
      <c r="O539" s="83">
        <f t="shared" si="360"/>
        <v>836.0682537158269</v>
      </c>
      <c r="P539" s="83">
        <f t="shared" si="360"/>
        <v>861.1503013273017</v>
      </c>
      <c r="Q539" s="83"/>
    </row>
    <row r="540" spans="1:17" ht="12.75" customHeight="1">
      <c r="A540" s="20"/>
      <c r="C540" s="26" t="s">
        <v>251</v>
      </c>
      <c r="D540" s="83">
        <v>0</v>
      </c>
      <c r="E540" s="83">
        <v>0</v>
      </c>
      <c r="F540" s="83">
        <v>0</v>
      </c>
      <c r="G540" s="36">
        <v>0</v>
      </c>
      <c r="H540" s="83">
        <v>0</v>
      </c>
      <c r="I540" s="83">
        <v>0</v>
      </c>
      <c r="J540" s="83">
        <v>0</v>
      </c>
      <c r="K540" s="83">
        <v>0</v>
      </c>
      <c r="L540" s="83">
        <v>0</v>
      </c>
      <c r="M540" s="83">
        <v>0</v>
      </c>
      <c r="N540" s="83">
        <v>0</v>
      </c>
      <c r="O540" s="83">
        <v>0</v>
      </c>
      <c r="P540" s="83">
        <v>0</v>
      </c>
      <c r="Q540" s="83"/>
    </row>
    <row r="541" spans="1:17" ht="12" customHeight="1">
      <c r="A541" s="20">
        <v>43</v>
      </c>
      <c r="C541" s="26" t="s">
        <v>252</v>
      </c>
      <c r="D541" s="1">
        <f>D137-D540+D539</f>
        <v>2494.7417077091873</v>
      </c>
      <c r="E541" s="1">
        <f aca="true" t="shared" si="361" ref="E541:P541">E137-E540+E539</f>
        <v>2573.155233704982</v>
      </c>
      <c r="F541" s="1">
        <f t="shared" si="361"/>
        <v>2928.0791833785156</v>
      </c>
      <c r="G541" s="36">
        <f t="shared" si="361"/>
        <v>3010.3666872410736</v>
      </c>
      <c r="H541" s="1">
        <f t="shared" si="361"/>
        <v>3100.46968909277</v>
      </c>
      <c r="I541" s="1">
        <f t="shared" si="361"/>
        <v>3193.25006111112</v>
      </c>
      <c r="J541" s="1">
        <f t="shared" si="361"/>
        <v>3289.0475629444545</v>
      </c>
      <c r="K541" s="1">
        <f t="shared" si="361"/>
        <v>3387.718989832789</v>
      </c>
      <c r="L541" s="1">
        <f t="shared" si="361"/>
        <v>3489.350559527774</v>
      </c>
      <c r="M541" s="1">
        <f t="shared" si="361"/>
        <v>3594.0310763136085</v>
      </c>
      <c r="N541" s="1">
        <f t="shared" si="361"/>
        <v>3701.8520086030185</v>
      </c>
      <c r="O541" s="1">
        <f t="shared" si="361"/>
        <v>3812.9075688611097</v>
      </c>
      <c r="P541" s="1">
        <f t="shared" si="361"/>
        <v>3927.2947959269436</v>
      </c>
      <c r="Q541" s="1"/>
    </row>
    <row r="542" spans="1:23" s="78" customFormat="1" ht="12" customHeight="1" thickBot="1">
      <c r="A542" s="77">
        <v>44</v>
      </c>
      <c r="B542" s="78" t="s">
        <v>138</v>
      </c>
      <c r="C542" s="91" t="s">
        <v>253</v>
      </c>
      <c r="D542" s="144">
        <f>D541-D144</f>
        <v>1494.7417077091866</v>
      </c>
      <c r="E542" s="144">
        <f aca="true" t="shared" si="362" ref="E542:P542">E541-E144</f>
        <v>1573.1552337049811</v>
      </c>
      <c r="F542" s="144">
        <f t="shared" si="362"/>
        <v>1828.0791833785147</v>
      </c>
      <c r="G542" s="145">
        <f t="shared" si="362"/>
        <v>1910.3666872410724</v>
      </c>
      <c r="H542" s="144">
        <f t="shared" si="362"/>
        <v>1967.4696890927687</v>
      </c>
      <c r="I542" s="144">
        <f t="shared" si="362"/>
        <v>2026.2600611111186</v>
      </c>
      <c r="J542" s="144">
        <f t="shared" si="362"/>
        <v>2087.047862944453</v>
      </c>
      <c r="K542" s="144">
        <f t="shared" si="362"/>
        <v>2149.659298832787</v>
      </c>
      <c r="L542" s="144">
        <f t="shared" si="362"/>
        <v>2214.149077797772</v>
      </c>
      <c r="M542" s="144">
        <f t="shared" si="362"/>
        <v>2280.5735501317067</v>
      </c>
      <c r="N542" s="144">
        <f t="shared" si="362"/>
        <v>2348.9907566356587</v>
      </c>
      <c r="O542" s="144">
        <f t="shared" si="362"/>
        <v>2419.460479334729</v>
      </c>
      <c r="P542" s="144">
        <f t="shared" si="362"/>
        <v>2492.044293714772</v>
      </c>
      <c r="Q542" s="93"/>
      <c r="R542" s="82"/>
      <c r="S542" s="82"/>
      <c r="T542" s="82"/>
      <c r="U542" s="82"/>
      <c r="V542" s="82"/>
      <c r="W542" s="82"/>
    </row>
    <row r="543" spans="1:23" s="7" customFormat="1" ht="12" customHeight="1">
      <c r="A543" s="65"/>
      <c r="B543" s="66"/>
      <c r="C543" s="66"/>
      <c r="D543" s="113"/>
      <c r="E543" s="74"/>
      <c r="F543" s="74"/>
      <c r="G543" s="75"/>
      <c r="H543" s="74"/>
      <c r="I543" s="74"/>
      <c r="J543" s="74"/>
      <c r="K543" s="74"/>
      <c r="L543" s="74"/>
      <c r="M543" s="75"/>
      <c r="N543" s="74"/>
      <c r="O543" s="74"/>
      <c r="P543" s="74"/>
      <c r="Q543" s="74"/>
      <c r="R543" s="66"/>
      <c r="S543" s="66"/>
      <c r="T543" s="66"/>
      <c r="U543" s="66"/>
      <c r="V543" s="66"/>
      <c r="W543" s="66"/>
    </row>
    <row r="544" spans="1:17" ht="12" customHeight="1">
      <c r="A544" s="20">
        <v>47</v>
      </c>
      <c r="C544" s="7" t="s">
        <v>254</v>
      </c>
      <c r="D544" s="14">
        <f>D130+(D137-D542)/D542*(D130-D147)</f>
        <v>1.1988098050763711</v>
      </c>
      <c r="E544" s="14">
        <f aca="true" t="shared" si="363" ref="E544:P544">E130+(E137-E542)/E542*(E130-E147)</f>
        <v>1.180210738220957</v>
      </c>
      <c r="F544" s="14">
        <f t="shared" si="363"/>
        <v>1.1881808168322847</v>
      </c>
      <c r="G544" s="119">
        <f t="shared" si="363"/>
        <v>1.1727417056652003</v>
      </c>
      <c r="H544" s="14">
        <f t="shared" si="363"/>
        <v>1.1727599677313119</v>
      </c>
      <c r="I544" s="14">
        <f t="shared" si="363"/>
        <v>1.1727798947031618</v>
      </c>
      <c r="J544" s="14">
        <f t="shared" si="363"/>
        <v>1.1727798947031616</v>
      </c>
      <c r="K544" s="14">
        <f t="shared" si="363"/>
        <v>1.1727798947031616</v>
      </c>
      <c r="L544" s="14">
        <f t="shared" si="363"/>
        <v>1.1727798947031616</v>
      </c>
      <c r="M544" s="14">
        <f t="shared" si="363"/>
        <v>1.1727798947031614</v>
      </c>
      <c r="N544" s="14">
        <f t="shared" si="363"/>
        <v>1.1727798947031616</v>
      </c>
      <c r="O544" s="14">
        <f t="shared" si="363"/>
        <v>1.1727798947031616</v>
      </c>
      <c r="P544" s="14">
        <f t="shared" si="363"/>
        <v>1.1727798947031614</v>
      </c>
      <c r="Q544" s="14"/>
    </row>
    <row r="545" spans="1:23" s="7" customFormat="1" ht="12" customHeight="1">
      <c r="A545" s="20">
        <v>48</v>
      </c>
      <c r="C545" s="7" t="s">
        <v>255</v>
      </c>
      <c r="D545" s="60">
        <f>D131+D132*D544</f>
        <v>0.09795239220305485</v>
      </c>
      <c r="E545" s="60">
        <f aca="true" t="shared" si="364" ref="E545:P545">E131+E132*E544</f>
        <v>0.09720842952883829</v>
      </c>
      <c r="F545" s="60">
        <f t="shared" si="364"/>
        <v>0.09752723267329139</v>
      </c>
      <c r="G545" s="59">
        <f t="shared" si="364"/>
        <v>0.09690966822660801</v>
      </c>
      <c r="H545" s="60">
        <f t="shared" si="364"/>
        <v>0.09691039870925247</v>
      </c>
      <c r="I545" s="60">
        <f t="shared" si="364"/>
        <v>0.09691119578812647</v>
      </c>
      <c r="J545" s="60">
        <f t="shared" si="364"/>
        <v>0.09691119578812646</v>
      </c>
      <c r="K545" s="60">
        <f t="shared" si="364"/>
        <v>0.09691119578812646</v>
      </c>
      <c r="L545" s="60">
        <f t="shared" si="364"/>
        <v>0.09691119578812646</v>
      </c>
      <c r="M545" s="60">
        <f t="shared" si="364"/>
        <v>0.09691119578812646</v>
      </c>
      <c r="N545" s="60">
        <f t="shared" si="364"/>
        <v>0.09691119578812646</v>
      </c>
      <c r="O545" s="60">
        <f t="shared" si="364"/>
        <v>0.09691119578812646</v>
      </c>
      <c r="P545" s="60">
        <f t="shared" si="364"/>
        <v>0.09691119578812646</v>
      </c>
      <c r="Q545" s="60">
        <f>P545</f>
        <v>0.09691119578812646</v>
      </c>
      <c r="R545" s="66"/>
      <c r="S545" s="66"/>
      <c r="T545" s="66"/>
      <c r="U545" s="66"/>
      <c r="V545" s="66"/>
      <c r="W545" s="66"/>
    </row>
    <row r="546" spans="1:17" ht="12" customHeight="1" hidden="1">
      <c r="A546" s="20"/>
      <c r="C546" s="26" t="s">
        <v>143</v>
      </c>
      <c r="D546" s="14">
        <v>1</v>
      </c>
      <c r="E546" s="14">
        <f>1/(1+D545)</f>
        <v>0.9107863028500607</v>
      </c>
      <c r="F546" s="55">
        <f aca="true" t="shared" si="365" ref="F546:Q546">E546/(1+E545)</f>
        <v>0.8300941537982618</v>
      </c>
      <c r="G546" s="117">
        <f t="shared" si="365"/>
        <v>0.7563312591126945</v>
      </c>
      <c r="H546" s="55">
        <f t="shared" si="365"/>
        <v>0.6895109789081062</v>
      </c>
      <c r="I546" s="55">
        <f t="shared" si="365"/>
        <v>0.6285937116827973</v>
      </c>
      <c r="J546" s="55">
        <f t="shared" si="365"/>
        <v>0.5730579777984262</v>
      </c>
      <c r="K546" s="55">
        <f t="shared" si="365"/>
        <v>0.5224287800132135</v>
      </c>
      <c r="L546" s="55">
        <f t="shared" si="365"/>
        <v>0.4762726299259352</v>
      </c>
      <c r="M546" s="117">
        <f t="shared" si="365"/>
        <v>0.4341943374766406</v>
      </c>
      <c r="N546" s="55">
        <f t="shared" si="365"/>
        <v>0.3958336273199159</v>
      </c>
      <c r="O546" s="55">
        <f t="shared" si="365"/>
        <v>0.3608620541387682</v>
      </c>
      <c r="P546" s="55">
        <f t="shared" si="365"/>
        <v>0.32898019048797306</v>
      </c>
      <c r="Q546" s="55">
        <f t="shared" si="365"/>
        <v>0.2999150630891337</v>
      </c>
    </row>
    <row r="547" spans="1:17" ht="12" customHeight="1" hidden="1">
      <c r="A547" s="20"/>
      <c r="B547" s="51"/>
      <c r="C547" s="51" t="s">
        <v>81</v>
      </c>
      <c r="D547" s="51"/>
      <c r="E547" s="28">
        <f aca="true" t="shared" si="366" ref="E547:P547">E528</f>
        <v>68</v>
      </c>
      <c r="F547" s="28">
        <f t="shared" si="366"/>
        <v>-102</v>
      </c>
      <c r="G547" s="122">
        <f t="shared" si="366"/>
        <v>96</v>
      </c>
      <c r="H547" s="28">
        <f t="shared" si="366"/>
        <v>128.03000000000003</v>
      </c>
      <c r="I547" s="28">
        <f t="shared" si="366"/>
        <v>131.87789999999967</v>
      </c>
      <c r="J547" s="28">
        <f t="shared" si="366"/>
        <v>135.57948366666653</v>
      </c>
      <c r="K547" s="28">
        <f t="shared" si="366"/>
        <v>139.64686817666637</v>
      </c>
      <c r="L547" s="28">
        <f t="shared" si="366"/>
        <v>143.83627422196707</v>
      </c>
      <c r="M547" s="28">
        <f t="shared" si="366"/>
        <v>148.15136244862515</v>
      </c>
      <c r="N547" s="28">
        <f t="shared" si="366"/>
        <v>152.59590332208427</v>
      </c>
      <c r="O547" s="28">
        <f t="shared" si="366"/>
        <v>157.17378042174698</v>
      </c>
      <c r="P547" s="28">
        <f t="shared" si="366"/>
        <v>161.88899383440037</v>
      </c>
      <c r="Q547" s="1">
        <f>P547*(1+O$8)+P547*(1+O$8)*(1+O$8)/(P545-O$8)</f>
        <v>2733.551286175647</v>
      </c>
    </row>
    <row r="548" spans="1:17" ht="12" customHeight="1" hidden="1">
      <c r="A548" s="20"/>
      <c r="C548" s="26" t="s">
        <v>144</v>
      </c>
      <c r="D548" s="1"/>
      <c r="E548" s="1">
        <f aca="true" t="shared" si="367" ref="E548:Q548">E547*E546</f>
        <v>61.93346859380413</v>
      </c>
      <c r="F548" s="1">
        <f t="shared" si="367"/>
        <v>-84.66960368742271</v>
      </c>
      <c r="G548" s="36">
        <f t="shared" si="367"/>
        <v>72.60780087481868</v>
      </c>
      <c r="H548" s="1">
        <f t="shared" si="367"/>
        <v>88.27809062960486</v>
      </c>
      <c r="I548" s="1">
        <f t="shared" si="367"/>
        <v>82.89761864993257</v>
      </c>
      <c r="J548" s="1">
        <f t="shared" si="367"/>
        <v>77.69490474097468</v>
      </c>
      <c r="K548" s="1">
        <f t="shared" si="367"/>
        <v>72.95554297420186</v>
      </c>
      <c r="L548" s="1">
        <f t="shared" si="367"/>
        <v>68.50528060244426</v>
      </c>
      <c r="M548" s="36">
        <f t="shared" si="367"/>
        <v>64.32648266464246</v>
      </c>
      <c r="N548" s="1">
        <f t="shared" si="367"/>
        <v>60.40258992613982</v>
      </c>
      <c r="O548" s="1">
        <f t="shared" si="367"/>
        <v>56.71805325974733</v>
      </c>
      <c r="P548" s="1">
        <f t="shared" si="367"/>
        <v>53.25827202954733</v>
      </c>
      <c r="Q548" s="1">
        <f t="shared" si="367"/>
        <v>819.8332064507517</v>
      </c>
    </row>
    <row r="549" spans="1:17" ht="12" customHeight="1">
      <c r="A549" s="20">
        <v>49</v>
      </c>
      <c r="C549" s="56" t="s">
        <v>256</v>
      </c>
      <c r="D549" s="46">
        <f>SUM(E548:$Q548)/D546</f>
        <v>1494.741707709187</v>
      </c>
      <c r="E549" s="46">
        <f>SUM(F548:$Q548)/E546</f>
        <v>1573.1552337049811</v>
      </c>
      <c r="F549" s="46">
        <f>SUM(G548:$Q548)/F546</f>
        <v>1828.079183378515</v>
      </c>
      <c r="G549" s="33">
        <f>SUM(H548:$Q548)/G546</f>
        <v>1910.3666872410718</v>
      </c>
      <c r="H549" s="46">
        <f>SUM(I548:$Q548)/H546</f>
        <v>1967.469689092768</v>
      </c>
      <c r="I549" s="46">
        <f>SUM(J548:$Q548)/I546</f>
        <v>2026.260061111118</v>
      </c>
      <c r="J549" s="46">
        <f>SUM(K548:$Q548)/J546</f>
        <v>2087.047862944453</v>
      </c>
      <c r="K549" s="46">
        <f>SUM(L548:$Q548)/K546</f>
        <v>2149.659298832787</v>
      </c>
      <c r="L549" s="46">
        <f>SUM(M548:$Q548)/L546</f>
        <v>2214.149077797771</v>
      </c>
      <c r="M549" s="33">
        <f>SUM(N548:$Q548)/M546</f>
        <v>2280.573550131706</v>
      </c>
      <c r="N549" s="46">
        <f>SUM(O548:$Q548)/N546</f>
        <v>2348.9907566356583</v>
      </c>
      <c r="O549" s="46">
        <f>SUM(P548:$Q548)/O546</f>
        <v>2419.460479334729</v>
      </c>
      <c r="P549" s="46">
        <f>SUM(Q548:$Q548)/P546</f>
        <v>2492.0442937147714</v>
      </c>
      <c r="Q549" s="46"/>
    </row>
    <row r="550" spans="1:17" ht="12.75" customHeight="1">
      <c r="A550" s="20">
        <v>50</v>
      </c>
      <c r="C550" s="106" t="s">
        <v>257</v>
      </c>
      <c r="D550" s="81">
        <f>D549</f>
        <v>1494.741707709187</v>
      </c>
      <c r="E550" s="81">
        <f>D550*(1+D545)-E528</f>
        <v>1573.1552337049811</v>
      </c>
      <c r="F550" s="81">
        <f aca="true" t="shared" si="368" ref="F550:P550">E550*(1+E545)-F528</f>
        <v>1828.079183378515</v>
      </c>
      <c r="G550" s="121">
        <f t="shared" si="368"/>
        <v>1910.366687241072</v>
      </c>
      <c r="H550" s="81">
        <f t="shared" si="368"/>
        <v>1967.4696890927682</v>
      </c>
      <c r="I550" s="81">
        <f t="shared" si="368"/>
        <v>2026.2600611111177</v>
      </c>
      <c r="J550" s="81">
        <f t="shared" si="368"/>
        <v>2087.047862944452</v>
      </c>
      <c r="K550" s="81">
        <f t="shared" si="368"/>
        <v>2149.6592988327866</v>
      </c>
      <c r="L550" s="81">
        <f t="shared" si="368"/>
        <v>2214.1490777977706</v>
      </c>
      <c r="M550" s="81">
        <f t="shared" si="368"/>
        <v>2280.573550131705</v>
      </c>
      <c r="N550" s="81">
        <f t="shared" si="368"/>
        <v>2348.9907566356574</v>
      </c>
      <c r="O550" s="81">
        <f t="shared" si="368"/>
        <v>2419.4604793347285</v>
      </c>
      <c r="P550" s="81">
        <f t="shared" si="368"/>
        <v>2492.0442937147704</v>
      </c>
      <c r="Q550" s="81"/>
    </row>
    <row r="551" spans="1:16" ht="12.75" customHeight="1">
      <c r="A551" s="20"/>
      <c r="D551" s="50"/>
      <c r="E551" s="50"/>
      <c r="F551" s="50"/>
      <c r="G551" s="199"/>
      <c r="H551" s="50"/>
      <c r="I551" s="50"/>
      <c r="J551" s="50"/>
      <c r="K551" s="50"/>
      <c r="L551" s="50"/>
      <c r="M551" s="38"/>
      <c r="N551" s="50"/>
      <c r="O551" s="50"/>
      <c r="P551" s="50"/>
    </row>
    <row r="552" spans="1:23" s="7" customFormat="1" ht="10.5" customHeight="1">
      <c r="A552" s="20">
        <v>51</v>
      </c>
      <c r="C552" s="7" t="s">
        <v>258</v>
      </c>
      <c r="D552" s="58">
        <f>(D550*D545+D144*D146-D140*D145*$F$1)/(D550+D144)</f>
        <v>0.07552426185587212</v>
      </c>
      <c r="E552" s="58">
        <f aca="true" t="shared" si="369" ref="E552:P552">(E550*E545+E144*E146-E140*E145*$F$1)/(E550+E144)</f>
        <v>0.07575289167178256</v>
      </c>
      <c r="F552" s="58">
        <f t="shared" si="369"/>
        <v>0.07666715611274412</v>
      </c>
      <c r="G552" s="170">
        <f t="shared" si="369"/>
        <v>0.07684545634661788</v>
      </c>
      <c r="H552" s="58">
        <f t="shared" si="369"/>
        <v>0.07684457385811921</v>
      </c>
      <c r="I552" s="58">
        <f t="shared" si="369"/>
        <v>0.07684361099318926</v>
      </c>
      <c r="J552" s="58">
        <f t="shared" si="369"/>
        <v>0.07684361099318927</v>
      </c>
      <c r="K552" s="58">
        <f t="shared" si="369"/>
        <v>0.07684361099318927</v>
      </c>
      <c r="L552" s="58">
        <f t="shared" si="369"/>
        <v>0.07684361099318927</v>
      </c>
      <c r="M552" s="58">
        <f t="shared" si="369"/>
        <v>0.0768436109931893</v>
      </c>
      <c r="N552" s="58">
        <f t="shared" si="369"/>
        <v>0.0768436109931893</v>
      </c>
      <c r="O552" s="58">
        <f t="shared" si="369"/>
        <v>0.07684361099318929</v>
      </c>
      <c r="P552" s="58">
        <f t="shared" si="369"/>
        <v>0.07684361099318929</v>
      </c>
      <c r="Q552" s="58">
        <f>P552</f>
        <v>0.07684361099318929</v>
      </c>
      <c r="R552" s="66"/>
      <c r="S552" s="66"/>
      <c r="T552" s="66"/>
      <c r="U552" s="66"/>
      <c r="V552" s="66"/>
      <c r="W552" s="66"/>
    </row>
    <row r="553" spans="1:17" ht="10.5" customHeight="1" hidden="1">
      <c r="A553" s="20"/>
      <c r="C553" s="26" t="s">
        <v>147</v>
      </c>
      <c r="D553" s="14">
        <v>1</v>
      </c>
      <c r="E553" s="14">
        <f>1/(1+D552)</f>
        <v>0.9297791183942694</v>
      </c>
      <c r="F553" s="14">
        <f aca="true" t="shared" si="370" ref="F553:Q553">E553/(1+E552)</f>
        <v>0.8643054790671661</v>
      </c>
      <c r="G553" s="119">
        <f t="shared" si="370"/>
        <v>0.8027601419436813</v>
      </c>
      <c r="H553" s="14">
        <f t="shared" si="370"/>
        <v>0.7454738627650268</v>
      </c>
      <c r="I553" s="14">
        <f t="shared" si="370"/>
        <v>0.692276193670311</v>
      </c>
      <c r="J553" s="14">
        <f t="shared" si="370"/>
        <v>0.642875331759469</v>
      </c>
      <c r="K553" s="14">
        <f t="shared" si="370"/>
        <v>0.5969997176902365</v>
      </c>
      <c r="L553" s="14">
        <f t="shared" si="370"/>
        <v>0.5543977896099643</v>
      </c>
      <c r="M553" s="119">
        <f t="shared" si="370"/>
        <v>0.5148359371317017</v>
      </c>
      <c r="N553" s="14">
        <f t="shared" si="370"/>
        <v>0.4780972203167558</v>
      </c>
      <c r="O553" s="14">
        <f t="shared" si="370"/>
        <v>0.44398018007071555</v>
      </c>
      <c r="P553" s="14">
        <f t="shared" si="370"/>
        <v>0.41229773342967213</v>
      </c>
      <c r="Q553" s="14">
        <f t="shared" si="370"/>
        <v>0.3828761476788664</v>
      </c>
    </row>
    <row r="554" spans="1:17" ht="10.5" customHeight="1" hidden="1">
      <c r="A554" s="54"/>
      <c r="B554" s="51"/>
      <c r="C554" s="51" t="s">
        <v>82</v>
      </c>
      <c r="D554" s="51"/>
      <c r="E554" s="51">
        <f aca="true" t="shared" si="371" ref="E554:P554">E529</f>
        <v>110</v>
      </c>
      <c r="F554" s="51">
        <f t="shared" si="371"/>
        <v>-160</v>
      </c>
      <c r="G554" s="120">
        <f t="shared" si="371"/>
        <v>142.2</v>
      </c>
      <c r="H554" s="51">
        <f t="shared" si="371"/>
        <v>141.23000000000002</v>
      </c>
      <c r="I554" s="51">
        <f t="shared" si="371"/>
        <v>145.47389999999967</v>
      </c>
      <c r="J554" s="51">
        <f t="shared" si="371"/>
        <v>149.58336366666646</v>
      </c>
      <c r="K554" s="51">
        <f t="shared" si="371"/>
        <v>154.07086457666628</v>
      </c>
      <c r="L554" s="51">
        <f t="shared" si="371"/>
        <v>158.69299051396695</v>
      </c>
      <c r="M554" s="120">
        <f t="shared" si="371"/>
        <v>163.45378022938502</v>
      </c>
      <c r="N554" s="51">
        <f t="shared" si="371"/>
        <v>168.35739363626706</v>
      </c>
      <c r="O554" s="51">
        <f t="shared" si="371"/>
        <v>173.40811544535524</v>
      </c>
      <c r="P554" s="51">
        <f t="shared" si="371"/>
        <v>178.61035890871696</v>
      </c>
      <c r="Q554" s="1">
        <f>P554*(1+O$8)+P554*(1+O$8)*(1+O$8)/(P552-O$8)</f>
        <v>4229.082309480731</v>
      </c>
    </row>
    <row r="555" spans="1:17" ht="10.5" customHeight="1" hidden="1">
      <c r="A555" s="20"/>
      <c r="C555" s="26" t="s">
        <v>127</v>
      </c>
      <c r="D555" s="1"/>
      <c r="E555" s="1">
        <f aca="true" t="shared" si="372" ref="E555:Q555">E554*E553</f>
        <v>102.27570302336963</v>
      </c>
      <c r="F555" s="1">
        <f t="shared" si="372"/>
        <v>-138.28887665074657</v>
      </c>
      <c r="G555" s="36">
        <f t="shared" si="372"/>
        <v>114.15249218439146</v>
      </c>
      <c r="H555" s="1">
        <f t="shared" si="372"/>
        <v>105.28327363830475</v>
      </c>
      <c r="I555" s="1">
        <f t="shared" si="372"/>
        <v>100.70811777037522</v>
      </c>
      <c r="J555" s="1">
        <f t="shared" si="372"/>
        <v>96.1634545429055</v>
      </c>
      <c r="K555" s="1">
        <f t="shared" si="372"/>
        <v>91.98026265656043</v>
      </c>
      <c r="L555" s="1">
        <f t="shared" si="372"/>
        <v>87.97904316753831</v>
      </c>
      <c r="M555" s="36">
        <f t="shared" si="372"/>
        <v>84.15188012211466</v>
      </c>
      <c r="N555" s="1">
        <f t="shared" si="372"/>
        <v>80.49120191727314</v>
      </c>
      <c r="O555" s="1">
        <f t="shared" si="372"/>
        <v>76.98976632115225</v>
      </c>
      <c r="P555" s="1">
        <f t="shared" si="372"/>
        <v>73.64064614512425</v>
      </c>
      <c r="Q555" s="1">
        <f t="shared" si="372"/>
        <v>1619.2147428708258</v>
      </c>
    </row>
    <row r="556" spans="1:17" ht="10.5" customHeight="1">
      <c r="A556" s="20">
        <v>52</v>
      </c>
      <c r="B556" s="4" t="s">
        <v>167</v>
      </c>
      <c r="C556" s="51" t="s">
        <v>259</v>
      </c>
      <c r="D556" s="22">
        <f>SUM(E555:$Q555)/D553</f>
        <v>2494.7417077091886</v>
      </c>
      <c r="E556" s="22">
        <f>SUM(F555:$Q555)/E553</f>
        <v>2573.1552337049825</v>
      </c>
      <c r="F556" s="22">
        <f>SUM(G555:$Q555)/F553</f>
        <v>2928.079183378517</v>
      </c>
      <c r="G556" s="111">
        <f>SUM(H555:$Q555)/G553</f>
        <v>3010.3666872410745</v>
      </c>
      <c r="H556" s="22">
        <f>SUM(I555:$Q555)/H553</f>
        <v>3100.469689092771</v>
      </c>
      <c r="I556" s="22">
        <f>SUM(J555:$Q555)/I553</f>
        <v>3193.2500611111204</v>
      </c>
      <c r="J556" s="22">
        <f>SUM(K555:$Q555)/J553</f>
        <v>3289.047562944454</v>
      </c>
      <c r="K556" s="22">
        <f>SUM(L555:$Q555)/K553</f>
        <v>3387.7189898327892</v>
      </c>
      <c r="L556" s="22">
        <f>SUM(M555:$Q555)/L553</f>
        <v>3489.350559527774</v>
      </c>
      <c r="M556" s="111">
        <f>SUM(N555:$Q555)/M553</f>
        <v>3594.0310763136085</v>
      </c>
      <c r="N556" s="22">
        <f>SUM(O555:$Q555)/N553</f>
        <v>3701.852008603019</v>
      </c>
      <c r="O556" s="22">
        <f>SUM(P555:$Q555)/O553</f>
        <v>3812.9075688611106</v>
      </c>
      <c r="P556" s="22">
        <f>SUM(Q555:$Q555)/P553</f>
        <v>3927.294795926944</v>
      </c>
      <c r="Q556" s="22"/>
    </row>
    <row r="557" spans="1:17" ht="12.75" customHeight="1">
      <c r="A557" s="20">
        <v>53</v>
      </c>
      <c r="B557" s="4" t="s">
        <v>138</v>
      </c>
      <c r="C557" s="47" t="s">
        <v>260</v>
      </c>
      <c r="D557" s="46">
        <f>D556-D144</f>
        <v>1494.741707709188</v>
      </c>
      <c r="E557" s="46">
        <f>E556-E144</f>
        <v>1573.1552337049816</v>
      </c>
      <c r="F557" s="46">
        <f aca="true" t="shared" si="373" ref="F557:P557">F556-F144</f>
        <v>1828.079183378516</v>
      </c>
      <c r="G557" s="33">
        <f t="shared" si="373"/>
        <v>1910.3666872410734</v>
      </c>
      <c r="H557" s="46">
        <f t="shared" si="373"/>
        <v>1967.46968909277</v>
      </c>
      <c r="I557" s="46">
        <f t="shared" si="373"/>
        <v>2026.260061111119</v>
      </c>
      <c r="J557" s="46">
        <f t="shared" si="373"/>
        <v>2087.0478629444524</v>
      </c>
      <c r="K557" s="46">
        <f t="shared" si="373"/>
        <v>2149.6592988327875</v>
      </c>
      <c r="L557" s="46">
        <f t="shared" si="373"/>
        <v>2214.149077797772</v>
      </c>
      <c r="M557" s="46">
        <f t="shared" si="373"/>
        <v>2280.5735501317067</v>
      </c>
      <c r="N557" s="46">
        <f t="shared" si="373"/>
        <v>2348.9907566356596</v>
      </c>
      <c r="O557" s="46">
        <f t="shared" si="373"/>
        <v>2419.46047933473</v>
      </c>
      <c r="P557" s="46">
        <f t="shared" si="373"/>
        <v>2492.044293714772</v>
      </c>
      <c r="Q557" s="24"/>
    </row>
    <row r="558" spans="1:17" ht="12.75" customHeight="1">
      <c r="A558" s="20">
        <v>54</v>
      </c>
      <c r="C558" s="85" t="s">
        <v>151</v>
      </c>
      <c r="D558" s="83">
        <f>D556</f>
        <v>2494.7417077091886</v>
      </c>
      <c r="E558" s="83">
        <f aca="true" t="shared" si="374" ref="E558:P558">D558*(1+D552)-E529</f>
        <v>2573.155233704983</v>
      </c>
      <c r="F558" s="83">
        <f t="shared" si="374"/>
        <v>2928.079183378517</v>
      </c>
      <c r="G558" s="36">
        <f t="shared" si="374"/>
        <v>3010.366687241074</v>
      </c>
      <c r="H558" s="83">
        <f t="shared" si="374"/>
        <v>3100.4696890927707</v>
      </c>
      <c r="I558" s="83">
        <f t="shared" si="374"/>
        <v>3193.2500611111204</v>
      </c>
      <c r="J558" s="83">
        <f t="shared" si="374"/>
        <v>3289.047562944454</v>
      </c>
      <c r="K558" s="83">
        <f t="shared" si="374"/>
        <v>3387.718989832789</v>
      </c>
      <c r="L558" s="83">
        <f t="shared" si="374"/>
        <v>3489.3505595277734</v>
      </c>
      <c r="M558" s="36">
        <f t="shared" si="374"/>
        <v>3594.0310763136085</v>
      </c>
      <c r="N558" s="83">
        <f t="shared" si="374"/>
        <v>3701.852008603018</v>
      </c>
      <c r="O558" s="83">
        <f t="shared" si="374"/>
        <v>3812.9075688611097</v>
      </c>
      <c r="P558" s="83">
        <f t="shared" si="374"/>
        <v>3927.294795926943</v>
      </c>
      <c r="Q558" s="105"/>
    </row>
    <row r="559" spans="1:17" ht="12.75" customHeight="1">
      <c r="A559" s="20"/>
      <c r="C559" s="6"/>
      <c r="D559" s="6"/>
      <c r="E559" s="53"/>
      <c r="F559" s="53"/>
      <c r="G559" s="37"/>
      <c r="H559" s="53"/>
      <c r="I559" s="53"/>
      <c r="J559" s="53"/>
      <c r="K559" s="53"/>
      <c r="L559" s="53"/>
      <c r="M559" s="37"/>
      <c r="N559" s="53"/>
      <c r="O559" s="53"/>
      <c r="P559" s="53"/>
      <c r="Q559" s="53"/>
    </row>
    <row r="560" spans="1:23" s="7" customFormat="1" ht="12" customHeight="1">
      <c r="A560" s="20">
        <v>55</v>
      </c>
      <c r="C560" s="7" t="s">
        <v>261</v>
      </c>
      <c r="D560" s="58">
        <f>(D144*D146+D557*D545)/(D144+D557)</f>
        <v>0.0827394376571893</v>
      </c>
      <c r="E560" s="58">
        <f aca="true" t="shared" si="375" ref="E560:P560">(E144*E146+E557*E545)/(E144+E557)</f>
        <v>0.08274819446744115</v>
      </c>
      <c r="F560" s="58">
        <f t="shared" si="375"/>
        <v>0.08342926832350549</v>
      </c>
      <c r="G560" s="170">
        <f t="shared" si="375"/>
        <v>0.08342272817330897</v>
      </c>
      <c r="H560" s="58">
        <f t="shared" si="375"/>
        <v>0.08342228692905962</v>
      </c>
      <c r="I560" s="58">
        <f t="shared" si="375"/>
        <v>0.08342180549659464</v>
      </c>
      <c r="J560" s="58">
        <f t="shared" si="375"/>
        <v>0.08342180549659464</v>
      </c>
      <c r="K560" s="58">
        <f t="shared" si="375"/>
        <v>0.08342180549659464</v>
      </c>
      <c r="L560" s="58">
        <f t="shared" si="375"/>
        <v>0.08342180549659466</v>
      </c>
      <c r="M560" s="58">
        <f t="shared" si="375"/>
        <v>0.08342180549659466</v>
      </c>
      <c r="N560" s="58">
        <f t="shared" si="375"/>
        <v>0.08342180549659464</v>
      </c>
      <c r="O560" s="58">
        <f t="shared" si="375"/>
        <v>0.08342180549659466</v>
      </c>
      <c r="P560" s="58">
        <f t="shared" si="375"/>
        <v>0.08342180549659464</v>
      </c>
      <c r="Q560" s="58">
        <f>P560</f>
        <v>0.08342180549659464</v>
      </c>
      <c r="R560" s="66"/>
      <c r="S560" s="66"/>
      <c r="T560" s="66"/>
      <c r="U560" s="66"/>
      <c r="V560" s="66"/>
      <c r="W560" s="66"/>
    </row>
    <row r="561" spans="1:17" ht="12" customHeight="1" hidden="1">
      <c r="A561" s="20"/>
      <c r="C561" s="26" t="s">
        <v>153</v>
      </c>
      <c r="D561" s="14">
        <v>1</v>
      </c>
      <c r="E561" s="14">
        <f>1/(1+D560)</f>
        <v>0.9235832419328706</v>
      </c>
      <c r="F561" s="14">
        <f aca="true" t="shared" si="376" ref="F561:Q561">E561/(1+E560)</f>
        <v>0.8529991060268106</v>
      </c>
      <c r="G561" s="119">
        <f t="shared" si="376"/>
        <v>0.7873140692855182</v>
      </c>
      <c r="H561" s="14">
        <f t="shared" si="376"/>
        <v>0.7266914832153827</v>
      </c>
      <c r="I561" s="14">
        <f t="shared" si="376"/>
        <v>0.6707370634539706</v>
      </c>
      <c r="J561" s="14">
        <f t="shared" si="376"/>
        <v>0.6190913456338762</v>
      </c>
      <c r="K561" s="14">
        <f t="shared" si="376"/>
        <v>0.5714222683104583</v>
      </c>
      <c r="L561" s="14">
        <f t="shared" si="376"/>
        <v>0.5274236363080606</v>
      </c>
      <c r="M561" s="119">
        <f t="shared" si="376"/>
        <v>0.4868128310065828</v>
      </c>
      <c r="N561" s="14">
        <f t="shared" si="376"/>
        <v>0.4493289949831205</v>
      </c>
      <c r="O561" s="14">
        <f t="shared" si="376"/>
        <v>0.4147313564333949</v>
      </c>
      <c r="P561" s="14">
        <f t="shared" si="376"/>
        <v>0.3827976826101443</v>
      </c>
      <c r="Q561" s="14">
        <f t="shared" si="376"/>
        <v>0.35332285234437016</v>
      </c>
    </row>
    <row r="562" spans="1:17" ht="12" customHeight="1" hidden="1">
      <c r="A562" s="54">
        <v>28</v>
      </c>
      <c r="B562" s="51"/>
      <c r="C562" s="51" t="s">
        <v>84</v>
      </c>
      <c r="D562" s="51"/>
      <c r="E562" s="28">
        <f aca="true" t="shared" si="377" ref="E562:P562">E531</f>
        <v>128</v>
      </c>
      <c r="F562" s="28">
        <f t="shared" si="377"/>
        <v>-142</v>
      </c>
      <c r="G562" s="122">
        <f t="shared" si="377"/>
        <v>162</v>
      </c>
      <c r="H562" s="28">
        <f t="shared" si="377"/>
        <v>161.03000000000003</v>
      </c>
      <c r="I562" s="28">
        <f t="shared" si="377"/>
        <v>165.86789999999968</v>
      </c>
      <c r="J562" s="28">
        <f t="shared" si="377"/>
        <v>170.5891836666665</v>
      </c>
      <c r="K562" s="28">
        <f t="shared" si="377"/>
        <v>175.70685917666628</v>
      </c>
      <c r="L562" s="28">
        <f t="shared" si="377"/>
        <v>180.97806495196693</v>
      </c>
      <c r="M562" s="122">
        <f t="shared" si="377"/>
        <v>186.40740690052502</v>
      </c>
      <c r="N562" s="28">
        <f t="shared" si="377"/>
        <v>191.99962910754127</v>
      </c>
      <c r="O562" s="28">
        <f t="shared" si="377"/>
        <v>197.75961798076764</v>
      </c>
      <c r="P562" s="28">
        <f t="shared" si="377"/>
        <v>203.69240652019178</v>
      </c>
      <c r="Q562" s="1">
        <f>P562*(1+O$8)+P562*(1+O$8)*(1+O$8)/(P560-O$8)</f>
        <v>4254.91681852055</v>
      </c>
    </row>
    <row r="563" spans="1:17" ht="12" customHeight="1" hidden="1">
      <c r="A563" s="20"/>
      <c r="C563" s="26" t="s">
        <v>154</v>
      </c>
      <c r="D563" s="1"/>
      <c r="E563" s="1">
        <f aca="true" t="shared" si="378" ref="E563:Q563">E562*E561</f>
        <v>118.21865496740743</v>
      </c>
      <c r="F563" s="1">
        <f t="shared" si="378"/>
        <v>-121.1258730558071</v>
      </c>
      <c r="G563" s="36">
        <f t="shared" si="378"/>
        <v>127.54487922425395</v>
      </c>
      <c r="H563" s="1">
        <f t="shared" si="378"/>
        <v>117.01912954217309</v>
      </c>
      <c r="I563" s="1">
        <f t="shared" si="378"/>
        <v>111.25374816727663</v>
      </c>
      <c r="J563" s="1">
        <f t="shared" si="378"/>
        <v>105.61028726678101</v>
      </c>
      <c r="K563" s="1">
        <f t="shared" si="378"/>
        <v>100.40281202843691</v>
      </c>
      <c r="L563" s="1">
        <f t="shared" si="378"/>
        <v>95.45210910896276</v>
      </c>
      <c r="M563" s="36">
        <f t="shared" si="378"/>
        <v>90.74551747384061</v>
      </c>
      <c r="N563" s="1">
        <f t="shared" si="378"/>
        <v>86.27100038402341</v>
      </c>
      <c r="O563" s="1">
        <f t="shared" si="378"/>
        <v>82.01711461291376</v>
      </c>
      <c r="P563" s="1">
        <f t="shared" si="378"/>
        <v>77.97298118121286</v>
      </c>
      <c r="Q563" s="1">
        <f t="shared" si="378"/>
        <v>1503.3593468077136</v>
      </c>
    </row>
    <row r="564" spans="1:17" ht="12" customHeight="1">
      <c r="A564" s="20">
        <v>56</v>
      </c>
      <c r="B564" s="4" t="s">
        <v>167</v>
      </c>
      <c r="C564" s="51" t="s">
        <v>262</v>
      </c>
      <c r="D564" s="22">
        <f>SUM(E563:$Q563)/D561</f>
        <v>2494.7417077091886</v>
      </c>
      <c r="E564" s="22">
        <f>SUM(F563:$Q563)/E561</f>
        <v>2573.1552337049834</v>
      </c>
      <c r="F564" s="22">
        <f>SUM(G563:$Q563)/F561</f>
        <v>2928.0791833785165</v>
      </c>
      <c r="G564" s="111">
        <f>SUM(H563:$Q563)/G561</f>
        <v>3010.3666872410736</v>
      </c>
      <c r="H564" s="22">
        <f>SUM(I563:$Q563)/H561</f>
        <v>3100.46968909277</v>
      </c>
      <c r="I564" s="22">
        <f>SUM(J563:$Q563)/I561</f>
        <v>3193.2500611111204</v>
      </c>
      <c r="J564" s="22">
        <f>SUM(K563:$Q563)/J561</f>
        <v>3289.047562944455</v>
      </c>
      <c r="K564" s="22">
        <f>SUM(L563:$Q563)/K561</f>
        <v>3387.7189898327897</v>
      </c>
      <c r="L564" s="22">
        <f>SUM(M563:$Q563)/L561</f>
        <v>3489.350559527774</v>
      </c>
      <c r="M564" s="111">
        <f>SUM(N563:$Q563)/M561</f>
        <v>3594.0310763136085</v>
      </c>
      <c r="N564" s="22">
        <f>SUM(O563:$Q563)/N561</f>
        <v>3701.852008603018</v>
      </c>
      <c r="O564" s="22">
        <f>SUM(P563:$Q563)/O561</f>
        <v>3812.90756886111</v>
      </c>
      <c r="P564" s="22">
        <f>SUM(Q563:$Q563)/P561</f>
        <v>3927.2947959269436</v>
      </c>
      <c r="Q564" s="22"/>
    </row>
    <row r="565" spans="1:23" s="78" customFormat="1" ht="12.75" customHeight="1" thickBot="1">
      <c r="A565" s="77">
        <v>57</v>
      </c>
      <c r="B565" s="78" t="s">
        <v>138</v>
      </c>
      <c r="C565" s="91" t="s">
        <v>263</v>
      </c>
      <c r="D565" s="93">
        <f>D564-D144</f>
        <v>1494.741707709188</v>
      </c>
      <c r="E565" s="93">
        <f aca="true" t="shared" si="379" ref="E565:P565">E564-E144</f>
        <v>1573.1552337049825</v>
      </c>
      <c r="F565" s="93">
        <f t="shared" si="379"/>
        <v>1828.0791833785156</v>
      </c>
      <c r="G565" s="116">
        <f t="shared" si="379"/>
        <v>1910.3666872410724</v>
      </c>
      <c r="H565" s="93">
        <f t="shared" si="379"/>
        <v>1967.4696890927687</v>
      </c>
      <c r="I565" s="93">
        <f t="shared" si="379"/>
        <v>2026.260061111119</v>
      </c>
      <c r="J565" s="93">
        <f t="shared" si="379"/>
        <v>2087.0478629444533</v>
      </c>
      <c r="K565" s="93">
        <f t="shared" si="379"/>
        <v>2149.659298832788</v>
      </c>
      <c r="L565" s="93">
        <f t="shared" si="379"/>
        <v>2214.149077797772</v>
      </c>
      <c r="M565" s="93">
        <f t="shared" si="379"/>
        <v>2280.5735501317067</v>
      </c>
      <c r="N565" s="93">
        <f t="shared" si="379"/>
        <v>2348.9907566356587</v>
      </c>
      <c r="O565" s="93">
        <f t="shared" si="379"/>
        <v>2419.46047933473</v>
      </c>
      <c r="P565" s="93">
        <f t="shared" si="379"/>
        <v>2492.044293714772</v>
      </c>
      <c r="Q565" s="133"/>
      <c r="R565" s="82"/>
      <c r="S565" s="82"/>
      <c r="T565" s="82"/>
      <c r="U565" s="82"/>
      <c r="V565" s="82"/>
      <c r="W565" s="82"/>
    </row>
    <row r="566" spans="1:17" ht="12" customHeight="1">
      <c r="A566" s="20"/>
      <c r="D566" s="49"/>
      <c r="E566" s="49"/>
      <c r="F566" s="49"/>
      <c r="G566" s="40"/>
      <c r="H566" s="49"/>
      <c r="I566" s="49"/>
      <c r="J566" s="27"/>
      <c r="K566" s="27"/>
      <c r="L566" s="27"/>
      <c r="M566" s="32"/>
      <c r="N566" s="27"/>
      <c r="O566" s="27"/>
      <c r="P566" s="27"/>
      <c r="Q566" s="27"/>
    </row>
    <row r="567" spans="1:23" s="78" customFormat="1" ht="12.75" customHeight="1" thickBot="1">
      <c r="A567" s="77">
        <v>58</v>
      </c>
      <c r="C567" s="91" t="s">
        <v>264</v>
      </c>
      <c r="D567" s="107">
        <f>(D23*D545+D22*D146*(1-$F$1))/(D22+D23)</f>
        <v>0.06997619610152742</v>
      </c>
      <c r="E567" s="107">
        <f aca="true" t="shared" si="380" ref="E567:P567">(E23*E545+E22*E146*(1-$F$1))/(E22+E23)</f>
        <v>0.07001215882497706</v>
      </c>
      <c r="F567" s="107">
        <f t="shared" si="380"/>
        <v>0.07170061282524888</v>
      </c>
      <c r="G567" s="123">
        <f t="shared" si="380"/>
        <v>0.07205343981127105</v>
      </c>
      <c r="H567" s="107">
        <f t="shared" si="380"/>
        <v>0.07205383962275959</v>
      </c>
      <c r="I567" s="107">
        <f t="shared" si="380"/>
        <v>0.0720542758840363</v>
      </c>
      <c r="J567" s="107">
        <f t="shared" si="380"/>
        <v>0.0720542758840363</v>
      </c>
      <c r="K567" s="107">
        <f t="shared" si="380"/>
        <v>0.0720542758840363</v>
      </c>
      <c r="L567" s="107">
        <f t="shared" si="380"/>
        <v>0.07205427588403628</v>
      </c>
      <c r="M567" s="107">
        <f t="shared" si="380"/>
        <v>0.07205427588403629</v>
      </c>
      <c r="N567" s="107">
        <f t="shared" si="380"/>
        <v>0.07205427588403629</v>
      </c>
      <c r="O567" s="107">
        <f t="shared" si="380"/>
        <v>0.07205427588403628</v>
      </c>
      <c r="P567" s="107">
        <f t="shared" si="380"/>
        <v>0.07205427588403628</v>
      </c>
      <c r="Q567" s="108"/>
      <c r="R567" s="82"/>
      <c r="S567" s="82"/>
      <c r="T567" s="82"/>
      <c r="U567" s="82"/>
      <c r="V567" s="82"/>
      <c r="W567" s="82"/>
    </row>
    <row r="568" spans="1:17" ht="12.75" customHeight="1">
      <c r="A568" s="20">
        <v>59</v>
      </c>
      <c r="C568" s="86" t="s">
        <v>265</v>
      </c>
      <c r="D568" s="83"/>
      <c r="E568" s="83">
        <f aca="true" t="shared" si="381" ref="E568:P568">E48-D23*D545</f>
        <v>0.04760779694514383</v>
      </c>
      <c r="F568" s="83">
        <f t="shared" si="381"/>
        <v>32.87531758529656</v>
      </c>
      <c r="G568" s="36">
        <f t="shared" si="381"/>
        <v>37.62805066828639</v>
      </c>
      <c r="H568" s="83">
        <f t="shared" si="381"/>
        <v>39.04014125861136</v>
      </c>
      <c r="I568" s="83">
        <f t="shared" si="381"/>
        <v>40.21734480819495</v>
      </c>
      <c r="J568" s="83">
        <f t="shared" si="381"/>
        <v>41.16798714320754</v>
      </c>
      <c r="K568" s="83">
        <f t="shared" si="381"/>
        <v>42.40302675750374</v>
      </c>
      <c r="L568" s="83">
        <f t="shared" si="381"/>
        <v>43.67511756022881</v>
      </c>
      <c r="M568" s="83">
        <f t="shared" si="381"/>
        <v>44.985371087035844</v>
      </c>
      <c r="N568" s="83">
        <f t="shared" si="381"/>
        <v>46.33493221964676</v>
      </c>
      <c r="O568" s="83">
        <f t="shared" si="381"/>
        <v>47.72498018623628</v>
      </c>
      <c r="P568" s="83">
        <f t="shared" si="381"/>
        <v>49.15672959182331</v>
      </c>
      <c r="Q568" s="1">
        <f>P568*(1+O$8)+P568*(1+O$8)*(1+O$8)/(P545-O$8)</f>
        <v>830.0282694780934</v>
      </c>
    </row>
    <row r="569" spans="1:17" ht="12.75" customHeight="1">
      <c r="A569" s="20">
        <v>60</v>
      </c>
      <c r="C569" s="66" t="s">
        <v>266</v>
      </c>
      <c r="D569" s="83"/>
      <c r="E569" s="83">
        <f aca="true" t="shared" si="382" ref="E569:P569">E48+E36*(1-$F$1)-(D22+D23)*D552</f>
        <v>-11.048523711744224</v>
      </c>
      <c r="F569" s="83">
        <f t="shared" si="382"/>
        <v>21.221629906281407</v>
      </c>
      <c r="G569" s="36">
        <f t="shared" si="382"/>
        <v>25.882175793360148</v>
      </c>
      <c r="H569" s="83">
        <f t="shared" si="382"/>
        <v>27.395541077718548</v>
      </c>
      <c r="I569" s="83">
        <f t="shared" si="382"/>
        <v>28.226616090513346</v>
      </c>
      <c r="J569" s="83">
        <f t="shared" si="382"/>
        <v>28.821143493167654</v>
      </c>
      <c r="K569" s="83">
        <f t="shared" si="382"/>
        <v>29.6857777979626</v>
      </c>
      <c r="L569" s="83">
        <f t="shared" si="382"/>
        <v>30.576351131901447</v>
      </c>
      <c r="M569" s="83">
        <f t="shared" si="382"/>
        <v>31.493641665858576</v>
      </c>
      <c r="N569" s="83">
        <f t="shared" si="382"/>
        <v>32.43845091583415</v>
      </c>
      <c r="O569" s="83">
        <f t="shared" si="382"/>
        <v>33.41160444330927</v>
      </c>
      <c r="P569" s="83">
        <f t="shared" si="382"/>
        <v>34.41395257660852</v>
      </c>
      <c r="Q569" s="84"/>
    </row>
    <row r="570" spans="1:23" s="51" customFormat="1" ht="12.75" customHeight="1">
      <c r="A570" s="54">
        <v>61</v>
      </c>
      <c r="C570" s="47" t="s">
        <v>267</v>
      </c>
      <c r="D570" s="22"/>
      <c r="E570" s="22">
        <f aca="true" t="shared" si="383" ref="E570:P570">E40+E36*(1-$F$1)-(D22+D23)*D567</f>
        <v>0.04760779694515804</v>
      </c>
      <c r="F570" s="22">
        <f t="shared" si="383"/>
        <v>32.87531758529656</v>
      </c>
      <c r="G570" s="111">
        <f t="shared" si="383"/>
        <v>37.62805066828639</v>
      </c>
      <c r="H570" s="22">
        <f t="shared" si="383"/>
        <v>39.04014125861136</v>
      </c>
      <c r="I570" s="22">
        <f t="shared" si="383"/>
        <v>40.21734480819498</v>
      </c>
      <c r="J570" s="22">
        <f t="shared" si="383"/>
        <v>41.16798714320754</v>
      </c>
      <c r="K570" s="22">
        <f t="shared" si="383"/>
        <v>42.40302675750371</v>
      </c>
      <c r="L570" s="22">
        <f t="shared" si="383"/>
        <v>43.67511756022881</v>
      </c>
      <c r="M570" s="22">
        <f t="shared" si="383"/>
        <v>44.985371087035844</v>
      </c>
      <c r="N570" s="22">
        <f t="shared" si="383"/>
        <v>46.33493221964676</v>
      </c>
      <c r="O570" s="22">
        <f t="shared" si="383"/>
        <v>47.72498018623628</v>
      </c>
      <c r="P570" s="22">
        <f t="shared" si="383"/>
        <v>49.156729591823336</v>
      </c>
      <c r="Q570" s="44"/>
      <c r="R570" s="82"/>
      <c r="S570" s="82"/>
      <c r="T570" s="82"/>
      <c r="U570" s="82"/>
      <c r="V570" s="82"/>
      <c r="W570" s="82"/>
    </row>
    <row r="571" spans="1:17" ht="12.75" customHeight="1">
      <c r="A571" s="20"/>
      <c r="C571" s="66"/>
      <c r="D571" s="83"/>
      <c r="E571" s="83"/>
      <c r="F571" s="83"/>
      <c r="G571" s="36"/>
      <c r="H571" s="83"/>
      <c r="I571" s="83"/>
      <c r="J571" s="83"/>
      <c r="K571" s="83"/>
      <c r="L571" s="83"/>
      <c r="M571" s="36"/>
      <c r="N571" s="83"/>
      <c r="O571" s="83"/>
      <c r="P571" s="83"/>
      <c r="Q571" s="84"/>
    </row>
    <row r="572" spans="1:17" ht="12.75" customHeight="1" hidden="1">
      <c r="A572" s="20"/>
      <c r="C572" s="26" t="s">
        <v>143</v>
      </c>
      <c r="D572" s="83"/>
      <c r="E572" s="83">
        <f aca="true" t="shared" si="384" ref="E572:P572">E546</f>
        <v>0.9107863028500607</v>
      </c>
      <c r="F572" s="83">
        <f t="shared" si="384"/>
        <v>0.8300941537982618</v>
      </c>
      <c r="G572" s="36">
        <f t="shared" si="384"/>
        <v>0.7563312591126945</v>
      </c>
      <c r="H572" s="83">
        <f t="shared" si="384"/>
        <v>0.6895109789081062</v>
      </c>
      <c r="I572" s="83">
        <f t="shared" si="384"/>
        <v>0.6285937116827973</v>
      </c>
      <c r="J572" s="83">
        <f t="shared" si="384"/>
        <v>0.5730579777984262</v>
      </c>
      <c r="K572" s="83">
        <f t="shared" si="384"/>
        <v>0.5224287800132135</v>
      </c>
      <c r="L572" s="83">
        <f t="shared" si="384"/>
        <v>0.4762726299259352</v>
      </c>
      <c r="M572" s="36">
        <f t="shared" si="384"/>
        <v>0.4341943374766406</v>
      </c>
      <c r="N572" s="83">
        <f t="shared" si="384"/>
        <v>0.3958336273199159</v>
      </c>
      <c r="O572" s="83">
        <f t="shared" si="384"/>
        <v>0.3608620541387682</v>
      </c>
      <c r="P572" s="83">
        <f t="shared" si="384"/>
        <v>0.32898019048797306</v>
      </c>
      <c r="Q572" s="87">
        <f>P572/(1+$P545)</f>
        <v>0.2999150630891337</v>
      </c>
    </row>
    <row r="573" spans="1:17" ht="12.75" customHeight="1" hidden="1">
      <c r="A573" s="20"/>
      <c r="C573" s="26" t="s">
        <v>158</v>
      </c>
      <c r="D573" s="1"/>
      <c r="E573" s="1">
        <f aca="true" t="shared" si="385" ref="E573:Q573">E568*E572</f>
        <v>0.04336052936650396</v>
      </c>
      <c r="F573" s="1">
        <f t="shared" si="385"/>
        <v>27.28960893181586</v>
      </c>
      <c r="G573" s="36">
        <f t="shared" si="385"/>
        <v>28.459270939901312</v>
      </c>
      <c r="H573" s="1">
        <f t="shared" si="385"/>
        <v>26.91860601593586</v>
      </c>
      <c r="I573" s="1">
        <f t="shared" si="385"/>
        <v>25.280370047010145</v>
      </c>
      <c r="J573" s="1">
        <f t="shared" si="385"/>
        <v>23.59164346231812</v>
      </c>
      <c r="K573" s="1">
        <f t="shared" si="385"/>
        <v>22.152561537790326</v>
      </c>
      <c r="L573" s="1">
        <f t="shared" si="385"/>
        <v>20.801263102734573</v>
      </c>
      <c r="M573" s="36">
        <f t="shared" si="385"/>
        <v>19.53239339527635</v>
      </c>
      <c r="N573" s="1">
        <f t="shared" si="385"/>
        <v>18.34092429212522</v>
      </c>
      <c r="O573" s="1">
        <f t="shared" si="385"/>
        <v>17.222134383737238</v>
      </c>
      <c r="P573" s="1">
        <f t="shared" si="385"/>
        <v>16.171590264883815</v>
      </c>
      <c r="Q573" s="1">
        <f t="shared" si="385"/>
        <v>248.93798080628684</v>
      </c>
    </row>
    <row r="574" spans="1:17" ht="12.75" customHeight="1">
      <c r="A574" s="20">
        <v>62</v>
      </c>
      <c r="C574" s="51" t="s">
        <v>268</v>
      </c>
      <c r="D574" s="22">
        <f>SUM(E573:$Q573)/D546</f>
        <v>494.74170770918215</v>
      </c>
      <c r="E574" s="22">
        <f>SUM(F573:$Q573)/E546</f>
        <v>543.1552337049759</v>
      </c>
      <c r="F574" s="22">
        <f>SUM(G573:$Q573)/F546</f>
        <v>563.079183378509</v>
      </c>
      <c r="G574" s="111">
        <f>SUM(H573:$Q573)/G546</f>
        <v>580.3666872410655</v>
      </c>
      <c r="H574" s="22">
        <f>SUM(I573:$Q573)/H546</f>
        <v>597.5696890927615</v>
      </c>
      <c r="I574" s="22">
        <f>SUM(J573:$Q573)/I546</f>
        <v>615.2630611111101</v>
      </c>
      <c r="J574" s="22">
        <f>SUM(K573:$Q573)/J546</f>
        <v>633.7209529444435</v>
      </c>
      <c r="K574" s="22">
        <f>SUM(L573:$Q573)/K546</f>
        <v>652.732581532777</v>
      </c>
      <c r="L574" s="22">
        <f>SUM(M573:$Q573)/L546</f>
        <v>672.3145589787604</v>
      </c>
      <c r="M574" s="111">
        <f>SUM(N573:$Q573)/M546</f>
        <v>692.4839957481231</v>
      </c>
      <c r="N574" s="22">
        <f>SUM(O573:$Q573)/N546</f>
        <v>713.2585156205669</v>
      </c>
      <c r="O574" s="22">
        <f>SUM(P573:$Q573)/O546</f>
        <v>734.6562710891839</v>
      </c>
      <c r="P574" s="22">
        <f>SUM(Q573:$Q573)/P546</f>
        <v>756.6959592218595</v>
      </c>
      <c r="Q574" s="84"/>
    </row>
    <row r="575" spans="1:23" s="78" customFormat="1" ht="12.75" customHeight="1" thickBot="1">
      <c r="A575" s="77">
        <v>63</v>
      </c>
      <c r="B575" s="78" t="s">
        <v>160</v>
      </c>
      <c r="C575" s="91" t="s">
        <v>269</v>
      </c>
      <c r="D575" s="93">
        <f>D574+D23</f>
        <v>1494.7417077091823</v>
      </c>
      <c r="E575" s="93">
        <f aca="true" t="shared" si="386" ref="E575:P575">E574+E23</f>
        <v>1573.155233704976</v>
      </c>
      <c r="F575" s="93">
        <f t="shared" si="386"/>
        <v>1828.079183378509</v>
      </c>
      <c r="G575" s="116">
        <f t="shared" si="386"/>
        <v>1910.3666872410654</v>
      </c>
      <c r="H575" s="93">
        <f t="shared" si="386"/>
        <v>1967.4696890927617</v>
      </c>
      <c r="I575" s="93">
        <f t="shared" si="386"/>
        <v>2026.2600611111104</v>
      </c>
      <c r="J575" s="93">
        <f t="shared" si="386"/>
        <v>2087.0478629444438</v>
      </c>
      <c r="K575" s="93">
        <f t="shared" si="386"/>
        <v>2149.6592988327775</v>
      </c>
      <c r="L575" s="93">
        <f t="shared" si="386"/>
        <v>2214.14907779776</v>
      </c>
      <c r="M575" s="93">
        <f t="shared" si="386"/>
        <v>2280.573550131693</v>
      </c>
      <c r="N575" s="93">
        <f t="shared" si="386"/>
        <v>2348.990756635644</v>
      </c>
      <c r="O575" s="93">
        <f t="shared" si="386"/>
        <v>2419.4604793347135</v>
      </c>
      <c r="P575" s="93">
        <f t="shared" si="386"/>
        <v>2492.0442937147536</v>
      </c>
      <c r="Q575" s="109"/>
      <c r="R575" s="82"/>
      <c r="S575" s="82"/>
      <c r="T575" s="82"/>
      <c r="U575" s="82"/>
      <c r="V575" s="82"/>
      <c r="W575" s="82"/>
    </row>
    <row r="576" spans="1:17" s="82" customFormat="1" ht="12.75" customHeight="1">
      <c r="A576" s="65"/>
      <c r="C576" s="66"/>
      <c r="D576" s="67"/>
      <c r="E576" s="67"/>
      <c r="F576" s="67"/>
      <c r="G576" s="118"/>
      <c r="H576" s="67"/>
      <c r="I576" s="67"/>
      <c r="J576" s="67"/>
      <c r="K576" s="67"/>
      <c r="L576" s="67"/>
      <c r="M576" s="118"/>
      <c r="N576" s="67"/>
      <c r="O576" s="67"/>
      <c r="P576" s="67"/>
      <c r="Q576" s="84"/>
    </row>
    <row r="577" spans="1:17" s="82" customFormat="1" ht="12.75" customHeight="1" hidden="1">
      <c r="A577" s="88"/>
      <c r="C577" s="82" t="s">
        <v>22</v>
      </c>
      <c r="D577" s="71"/>
      <c r="E577" s="71">
        <f aca="true" t="shared" si="387" ref="E577:P577">E569</f>
        <v>-11.048523711744224</v>
      </c>
      <c r="F577" s="71">
        <f t="shared" si="387"/>
        <v>21.221629906281407</v>
      </c>
      <c r="G577" s="114">
        <f t="shared" si="387"/>
        <v>25.882175793360148</v>
      </c>
      <c r="H577" s="71">
        <f t="shared" si="387"/>
        <v>27.395541077718548</v>
      </c>
      <c r="I577" s="71">
        <f t="shared" si="387"/>
        <v>28.226616090513346</v>
      </c>
      <c r="J577" s="71">
        <f t="shared" si="387"/>
        <v>28.821143493167654</v>
      </c>
      <c r="K577" s="71">
        <f t="shared" si="387"/>
        <v>29.6857777979626</v>
      </c>
      <c r="L577" s="71">
        <f t="shared" si="387"/>
        <v>30.576351131901447</v>
      </c>
      <c r="M577" s="114">
        <f t="shared" si="387"/>
        <v>31.493641665858576</v>
      </c>
      <c r="N577" s="71">
        <f t="shared" si="387"/>
        <v>32.43845091583415</v>
      </c>
      <c r="O577" s="71">
        <f t="shared" si="387"/>
        <v>33.41160444330927</v>
      </c>
      <c r="P577" s="71">
        <f t="shared" si="387"/>
        <v>34.41395257660852</v>
      </c>
      <c r="Q577" s="1">
        <f>P577*(1+O$8)+P577*(1+O$8)*(1+O$8)/(P552-O$8)</f>
        <v>814.843209152417</v>
      </c>
    </row>
    <row r="578" spans="1:17" ht="12.75" customHeight="1" hidden="1">
      <c r="A578" s="20"/>
      <c r="C578" s="26" t="s">
        <v>162</v>
      </c>
      <c r="D578" s="1"/>
      <c r="E578" s="1">
        <f aca="true" t="shared" si="388" ref="E578:Q578">E577*E553</f>
        <v>-10.272686636263726</v>
      </c>
      <c r="F578" s="1">
        <f t="shared" si="388"/>
        <v>18.341971002734653</v>
      </c>
      <c r="G578" s="36">
        <f t="shared" si="388"/>
        <v>20.777179113689105</v>
      </c>
      <c r="H578" s="1">
        <f t="shared" si="388"/>
        <v>20.422659829744813</v>
      </c>
      <c r="I578" s="1">
        <f t="shared" si="388"/>
        <v>19.540614347333733</v>
      </c>
      <c r="J578" s="1">
        <f t="shared" si="388"/>
        <v>18.528402184857416</v>
      </c>
      <c r="K578" s="1">
        <f t="shared" si="388"/>
        <v>17.722400964798762</v>
      </c>
      <c r="L578" s="1">
        <f t="shared" si="388"/>
        <v>16.951461481864293</v>
      </c>
      <c r="M578" s="36">
        <f t="shared" si="388"/>
        <v>16.21405852073231</v>
      </c>
      <c r="N578" s="1">
        <f t="shared" si="388"/>
        <v>15.508733214241829</v>
      </c>
      <c r="O578" s="1">
        <f t="shared" si="388"/>
        <v>14.834090157191971</v>
      </c>
      <c r="P578" s="1">
        <f t="shared" si="388"/>
        <v>14.18879464569192</v>
      </c>
      <c r="Q578" s="1">
        <f t="shared" si="388"/>
        <v>311.98402888256226</v>
      </c>
    </row>
    <row r="579" spans="1:17" ht="12.75" customHeight="1">
      <c r="A579" s="20">
        <v>64</v>
      </c>
      <c r="C579" s="51" t="s">
        <v>270</v>
      </c>
      <c r="D579" s="22">
        <f>SUM(E578:$Q578)/D553</f>
        <v>494.7417077091793</v>
      </c>
      <c r="E579" s="22">
        <f>SUM(F578:$Q578)/E553</f>
        <v>543.1552337049729</v>
      </c>
      <c r="F579" s="22">
        <f>SUM(G578:$Q578)/F553</f>
        <v>563.0791833785061</v>
      </c>
      <c r="G579" s="111">
        <f>SUM(H578:$Q578)/G553</f>
        <v>580.3666872410624</v>
      </c>
      <c r="H579" s="22">
        <f>SUM(I578:$Q578)/H553</f>
        <v>597.5696890927582</v>
      </c>
      <c r="I579" s="22">
        <f>SUM(J578:$Q578)/I553</f>
        <v>615.2630611111065</v>
      </c>
      <c r="J579" s="22">
        <f>SUM(K578:$Q578)/J553</f>
        <v>633.7209529444394</v>
      </c>
      <c r="K579" s="22">
        <f>SUM(L578:$Q578)/K553</f>
        <v>652.7325815327727</v>
      </c>
      <c r="L579" s="22">
        <f>SUM(M578:$Q578)/L553</f>
        <v>672.3145589787558</v>
      </c>
      <c r="M579" s="111">
        <f>SUM(N578:$Q578)/M553</f>
        <v>692.4839957481186</v>
      </c>
      <c r="N579" s="22">
        <f>SUM(O578:$Q578)/N553</f>
        <v>713.2585156205622</v>
      </c>
      <c r="O579" s="22">
        <f>SUM(P578:$Q578)/O553</f>
        <v>734.6562710891792</v>
      </c>
      <c r="P579" s="22">
        <f>SUM(Q578:$Q578)/P553</f>
        <v>756.6959592218545</v>
      </c>
      <c r="Q579" s="22"/>
    </row>
    <row r="580" spans="1:23" s="78" customFormat="1" ht="12.75" customHeight="1" thickBot="1">
      <c r="A580" s="77">
        <v>65</v>
      </c>
      <c r="B580" s="78" t="s">
        <v>271</v>
      </c>
      <c r="C580" s="91"/>
      <c r="D580" s="93">
        <f>D579+D23-(D144-D140)</f>
        <v>1494.7417077091786</v>
      </c>
      <c r="E580" s="93">
        <f aca="true" t="shared" si="389" ref="E580:P580">E579+E23-(E144-E140)</f>
        <v>1573.155233704972</v>
      </c>
      <c r="F580" s="93">
        <f t="shared" si="389"/>
        <v>1828.0791833785051</v>
      </c>
      <c r="G580" s="116">
        <f t="shared" si="389"/>
        <v>1910.3666872410613</v>
      </c>
      <c r="H580" s="93">
        <f t="shared" si="389"/>
        <v>1967.469689092757</v>
      </c>
      <c r="I580" s="93">
        <f t="shared" si="389"/>
        <v>2026.2600611111054</v>
      </c>
      <c r="J580" s="93">
        <f t="shared" si="389"/>
        <v>2087.047862944438</v>
      </c>
      <c r="K580" s="93">
        <f t="shared" si="389"/>
        <v>2149.659298832771</v>
      </c>
      <c r="L580" s="93">
        <f t="shared" si="389"/>
        <v>2214.149077797754</v>
      </c>
      <c r="M580" s="93">
        <f t="shared" si="389"/>
        <v>2280.5735501316867</v>
      </c>
      <c r="N580" s="93">
        <f t="shared" si="389"/>
        <v>2348.990756635638</v>
      </c>
      <c r="O580" s="93">
        <f t="shared" si="389"/>
        <v>2419.4604793347066</v>
      </c>
      <c r="P580" s="93">
        <f t="shared" si="389"/>
        <v>2492.0442937147463</v>
      </c>
      <c r="Q580" s="109"/>
      <c r="R580" s="82"/>
      <c r="S580" s="82"/>
      <c r="T580" s="82"/>
      <c r="U580" s="82"/>
      <c r="V580" s="82"/>
      <c r="W580" s="82"/>
    </row>
    <row r="581" spans="1:16" ht="12.75" customHeight="1" hidden="1">
      <c r="A581" s="20"/>
      <c r="B581" s="181" t="s">
        <v>272</v>
      </c>
      <c r="C581" s="113" t="s">
        <v>273</v>
      </c>
      <c r="D581" s="113"/>
      <c r="E581" s="113"/>
      <c r="F581" s="125"/>
      <c r="G581" s="196"/>
      <c r="H581" s="52"/>
      <c r="I581" s="52"/>
      <c r="J581" s="52"/>
      <c r="K581" s="52"/>
      <c r="L581" s="52"/>
      <c r="M581" s="125"/>
      <c r="N581" s="52"/>
      <c r="O581" s="52"/>
      <c r="P581" s="52"/>
    </row>
    <row r="582" spans="1:16" ht="12.75" customHeight="1">
      <c r="A582" s="20"/>
      <c r="B582" s="181"/>
      <c r="C582" s="113"/>
      <c r="D582" s="113"/>
      <c r="E582" s="113"/>
      <c r="F582" s="125"/>
      <c r="G582" s="196"/>
      <c r="H582" s="52"/>
      <c r="I582" s="52"/>
      <c r="J582" s="52"/>
      <c r="K582" s="52"/>
      <c r="L582" s="52"/>
      <c r="M582" s="125"/>
      <c r="N582" s="52"/>
      <c r="O582" s="52"/>
      <c r="P582" s="52"/>
    </row>
    <row r="583" spans="1:17" ht="12" customHeight="1" thickBot="1">
      <c r="A583" s="20"/>
      <c r="B583"/>
      <c r="C583"/>
      <c r="D583" s="127">
        <v>0</v>
      </c>
      <c r="E583" s="127">
        <v>1</v>
      </c>
      <c r="F583" s="127">
        <f aca="true" t="shared" si="390" ref="F583:Q583">E583+1</f>
        <v>2</v>
      </c>
      <c r="G583" s="137">
        <f t="shared" si="390"/>
        <v>3</v>
      </c>
      <c r="H583" s="127">
        <f t="shared" si="390"/>
        <v>4</v>
      </c>
      <c r="I583" s="127">
        <f t="shared" si="390"/>
        <v>5</v>
      </c>
      <c r="J583" s="127">
        <f t="shared" si="390"/>
        <v>6</v>
      </c>
      <c r="K583" s="127">
        <f t="shared" si="390"/>
        <v>7</v>
      </c>
      <c r="L583" s="127">
        <f t="shared" si="390"/>
        <v>8</v>
      </c>
      <c r="M583" s="137">
        <f t="shared" si="390"/>
        <v>9</v>
      </c>
      <c r="N583" s="127">
        <f t="shared" si="390"/>
        <v>10</v>
      </c>
      <c r="O583" s="127">
        <f t="shared" si="390"/>
        <v>11</v>
      </c>
      <c r="P583" s="127">
        <f t="shared" si="390"/>
        <v>12</v>
      </c>
      <c r="Q583" s="127">
        <f t="shared" si="390"/>
        <v>13</v>
      </c>
    </row>
    <row r="584" spans="1:17" ht="12" customHeight="1">
      <c r="A584" s="54">
        <v>27</v>
      </c>
      <c r="B584" s="51"/>
      <c r="C584" s="47" t="s">
        <v>18</v>
      </c>
      <c r="D584" s="51"/>
      <c r="E584" s="72">
        <f>E$55-D550*(D545-D$133)</f>
        <v>56.11322769803257</v>
      </c>
      <c r="F584" s="72">
        <f aca="true" t="shared" si="391" ref="F584:Q584">F$55-E550*(E545-E$133)</f>
        <v>-113.33997864008549</v>
      </c>
      <c r="G584" s="72">
        <f t="shared" si="391"/>
        <v>82.2396226415094</v>
      </c>
      <c r="H584" s="72">
        <f t="shared" si="391"/>
        <v>114.82999999999998</v>
      </c>
      <c r="I584" s="72">
        <f t="shared" si="391"/>
        <v>118.28189999999964</v>
      </c>
      <c r="J584" s="72">
        <f t="shared" si="391"/>
        <v>121.57560366666648</v>
      </c>
      <c r="K584" s="72">
        <f t="shared" si="391"/>
        <v>125.22287177666634</v>
      </c>
      <c r="L584" s="72">
        <f t="shared" si="391"/>
        <v>128.97955792996703</v>
      </c>
      <c r="M584" s="72">
        <f t="shared" si="391"/>
        <v>132.8489446678651</v>
      </c>
      <c r="N584" s="72">
        <f t="shared" si="391"/>
        <v>136.83441300790142</v>
      </c>
      <c r="O584" s="72">
        <f t="shared" si="391"/>
        <v>140.93944539813864</v>
      </c>
      <c r="P584" s="72">
        <f t="shared" si="391"/>
        <v>145.16762876008377</v>
      </c>
      <c r="Q584" s="72">
        <f t="shared" si="391"/>
        <v>149.52265762288408</v>
      </c>
    </row>
    <row r="585" spans="1:23" s="7" customFormat="1" ht="12" customHeight="1">
      <c r="A585" s="54">
        <v>28</v>
      </c>
      <c r="B585" s="47"/>
      <c r="C585" s="47" t="s">
        <v>15</v>
      </c>
      <c r="D585" s="47"/>
      <c r="E585" s="72">
        <f>E$56-D556*(D552-D$133)</f>
        <v>146.11322769803263</v>
      </c>
      <c r="F585" s="72">
        <f aca="true" t="shared" si="392" ref="F585:Q585">F$56-E556*(E552-E$133)</f>
        <v>-123.33997864008546</v>
      </c>
      <c r="G585" s="72">
        <f t="shared" si="392"/>
        <v>181.2396226415094</v>
      </c>
      <c r="H585" s="72">
        <f t="shared" si="392"/>
        <v>180.83000000000004</v>
      </c>
      <c r="I585" s="72">
        <f t="shared" si="392"/>
        <v>186.26189999999968</v>
      </c>
      <c r="J585" s="72">
        <f t="shared" si="392"/>
        <v>191.5950036666665</v>
      </c>
      <c r="K585" s="72">
        <f t="shared" si="392"/>
        <v>197.3428537766663</v>
      </c>
      <c r="L585" s="72">
        <f t="shared" si="392"/>
        <v>203.26313938996697</v>
      </c>
      <c r="M585" s="72">
        <f t="shared" si="392"/>
        <v>209.36103357166508</v>
      </c>
      <c r="N585" s="72">
        <f t="shared" si="392"/>
        <v>215.64186457881544</v>
      </c>
      <c r="O585" s="72">
        <f t="shared" si="392"/>
        <v>222.11112051618008</v>
      </c>
      <c r="P585" s="72">
        <f t="shared" si="392"/>
        <v>228.77445413166663</v>
      </c>
      <c r="Q585" s="72">
        <f t="shared" si="392"/>
        <v>235.63768775561434</v>
      </c>
      <c r="R585" s="66"/>
      <c r="S585" s="66"/>
      <c r="T585" s="66"/>
      <c r="U585" s="66"/>
      <c r="V585" s="66"/>
      <c r="W585" s="66"/>
    </row>
    <row r="586" spans="1:23" s="7" customFormat="1" ht="12" customHeight="1">
      <c r="A586" s="65"/>
      <c r="B586" s="66"/>
      <c r="C586" s="66"/>
      <c r="D586" s="113"/>
      <c r="E586" s="74"/>
      <c r="F586" s="74"/>
      <c r="G586" s="75"/>
      <c r="H586" s="74"/>
      <c r="I586" s="74"/>
      <c r="J586" s="74"/>
      <c r="K586" s="74"/>
      <c r="L586" s="74"/>
      <c r="M586" s="75"/>
      <c r="N586" s="74"/>
      <c r="O586" s="74"/>
      <c r="P586" s="74"/>
      <c r="Q586" s="74"/>
      <c r="R586" s="66"/>
      <c r="S586" s="66"/>
      <c r="T586" s="66"/>
      <c r="U586" s="66"/>
      <c r="V586" s="66"/>
      <c r="W586" s="66"/>
    </row>
    <row r="587" spans="1:23" s="7" customFormat="1" ht="12" customHeight="1">
      <c r="A587" s="20"/>
      <c r="C587" s="7" t="s">
        <v>1</v>
      </c>
      <c r="D587" s="60">
        <f aca="true" t="shared" si="393" ref="D587:Q587">D$133</f>
        <v>0.09</v>
      </c>
      <c r="E587" s="60">
        <f t="shared" si="393"/>
        <v>0.09</v>
      </c>
      <c r="F587" s="60">
        <f t="shared" si="393"/>
        <v>0.09</v>
      </c>
      <c r="G587" s="60">
        <f t="shared" si="393"/>
        <v>0.09</v>
      </c>
      <c r="H587" s="60">
        <f t="shared" si="393"/>
        <v>0.09</v>
      </c>
      <c r="I587" s="60">
        <f t="shared" si="393"/>
        <v>0.09</v>
      </c>
      <c r="J587" s="60">
        <f t="shared" si="393"/>
        <v>0.09</v>
      </c>
      <c r="K587" s="60">
        <f t="shared" si="393"/>
        <v>0.09</v>
      </c>
      <c r="L587" s="60">
        <f t="shared" si="393"/>
        <v>0.09</v>
      </c>
      <c r="M587" s="60">
        <f t="shared" si="393"/>
        <v>0.09</v>
      </c>
      <c r="N587" s="60">
        <f t="shared" si="393"/>
        <v>0.09</v>
      </c>
      <c r="O587" s="60">
        <f t="shared" si="393"/>
        <v>0.09</v>
      </c>
      <c r="P587" s="60">
        <f t="shared" si="393"/>
        <v>0.09</v>
      </c>
      <c r="Q587" s="60">
        <f t="shared" si="393"/>
        <v>0.09</v>
      </c>
      <c r="R587" s="66"/>
      <c r="S587" s="66"/>
      <c r="T587" s="66"/>
      <c r="U587" s="66"/>
      <c r="V587" s="66"/>
      <c r="W587" s="66"/>
    </row>
    <row r="588" spans="1:17" ht="12" customHeight="1" hidden="1">
      <c r="A588" s="20"/>
      <c r="C588" s="26" t="s">
        <v>143</v>
      </c>
      <c r="D588" s="14">
        <v>1</v>
      </c>
      <c r="E588" s="14">
        <f>1/(1+D587)</f>
        <v>0.9174311926605504</v>
      </c>
      <c r="F588" s="55">
        <f aca="true" t="shared" si="394" ref="F588:Q588">E588/(1+E587)</f>
        <v>0.84167999326656</v>
      </c>
      <c r="G588" s="117">
        <f t="shared" si="394"/>
        <v>0.7721834800610641</v>
      </c>
      <c r="H588" s="55">
        <f t="shared" si="394"/>
        <v>0.7084252110651964</v>
      </c>
      <c r="I588" s="55">
        <f t="shared" si="394"/>
        <v>0.6499313862983452</v>
      </c>
      <c r="J588" s="55">
        <f t="shared" si="394"/>
        <v>0.5962673268792158</v>
      </c>
      <c r="K588" s="55">
        <f t="shared" si="394"/>
        <v>0.5470342448433172</v>
      </c>
      <c r="L588" s="55">
        <f t="shared" si="394"/>
        <v>0.501866279672768</v>
      </c>
      <c r="M588" s="117">
        <f t="shared" si="394"/>
        <v>0.4604277795163009</v>
      </c>
      <c r="N588" s="55">
        <f t="shared" si="394"/>
        <v>0.42241080689568883</v>
      </c>
      <c r="O588" s="55">
        <f t="shared" si="394"/>
        <v>0.38753285036301727</v>
      </c>
      <c r="P588" s="55">
        <f t="shared" si="394"/>
        <v>0.35553472510368556</v>
      </c>
      <c r="Q588" s="55">
        <f t="shared" si="394"/>
        <v>0.3261786468841152</v>
      </c>
    </row>
    <row r="589" spans="1:17" ht="12" customHeight="1" hidden="1">
      <c r="A589" s="20"/>
      <c r="B589" s="51"/>
      <c r="C589" s="51" t="s">
        <v>81</v>
      </c>
      <c r="D589" s="51"/>
      <c r="E589" s="28">
        <f aca="true" t="shared" si="395" ref="E589:P589">E584</f>
        <v>56.11322769803257</v>
      </c>
      <c r="F589" s="28">
        <f t="shared" si="395"/>
        <v>-113.33997864008549</v>
      </c>
      <c r="G589" s="122">
        <f t="shared" si="395"/>
        <v>82.2396226415094</v>
      </c>
      <c r="H589" s="28">
        <f t="shared" si="395"/>
        <v>114.82999999999998</v>
      </c>
      <c r="I589" s="28">
        <f t="shared" si="395"/>
        <v>118.28189999999964</v>
      </c>
      <c r="J589" s="28">
        <f t="shared" si="395"/>
        <v>121.57560366666648</v>
      </c>
      <c r="K589" s="28">
        <f t="shared" si="395"/>
        <v>125.22287177666634</v>
      </c>
      <c r="L589" s="28">
        <f t="shared" si="395"/>
        <v>128.97955792996703</v>
      </c>
      <c r="M589" s="28">
        <f t="shared" si="395"/>
        <v>132.8489446678651</v>
      </c>
      <c r="N589" s="28">
        <f t="shared" si="395"/>
        <v>136.83441300790142</v>
      </c>
      <c r="O589" s="28">
        <f t="shared" si="395"/>
        <v>140.93944539813864</v>
      </c>
      <c r="P589" s="28">
        <f t="shared" si="395"/>
        <v>145.16762876008377</v>
      </c>
      <c r="Q589" s="1">
        <f>P589*(1+O$8)+P589*(1+O$8)*(1+O$8)/(P587-O$8)</f>
        <v>2716.3282801491014</v>
      </c>
    </row>
    <row r="590" spans="1:17" ht="12" customHeight="1" hidden="1">
      <c r="A590" s="20"/>
      <c r="C590" s="26" t="s">
        <v>144</v>
      </c>
      <c r="D590" s="1"/>
      <c r="E590" s="1">
        <f aca="true" t="shared" si="396" ref="E590:Q590">E589*E588</f>
        <v>51.48002541103905</v>
      </c>
      <c r="F590" s="1">
        <f t="shared" si="396"/>
        <v>-95.3959924586192</v>
      </c>
      <c r="G590" s="36">
        <f t="shared" si="396"/>
        <v>63.50407801022941</v>
      </c>
      <c r="H590" s="1">
        <f t="shared" si="396"/>
        <v>81.34846698661649</v>
      </c>
      <c r="I590" s="1">
        <f t="shared" si="396"/>
        <v>76.87511924100201</v>
      </c>
      <c r="J590" s="1">
        <f t="shared" si="396"/>
        <v>72.4915602120502</v>
      </c>
      <c r="K590" s="1">
        <f t="shared" si="396"/>
        <v>68.50119909946021</v>
      </c>
      <c r="L590" s="1">
        <f t="shared" si="396"/>
        <v>64.73049089215081</v>
      </c>
      <c r="M590" s="36">
        <f t="shared" si="396"/>
        <v>61.167344604509054</v>
      </c>
      <c r="N590" s="1">
        <f t="shared" si="396"/>
        <v>57.80033480976558</v>
      </c>
      <c r="O590" s="1">
        <f t="shared" si="396"/>
        <v>54.61866500372351</v>
      </c>
      <c r="P590" s="1">
        <f t="shared" si="396"/>
        <v>51.61213298517026</v>
      </c>
      <c r="Q590" s="1">
        <f t="shared" si="396"/>
        <v>886.0082829120896</v>
      </c>
    </row>
    <row r="591" spans="1:17" ht="12" customHeight="1">
      <c r="A591" s="20">
        <v>49</v>
      </c>
      <c r="C591" s="56" t="s">
        <v>166</v>
      </c>
      <c r="D591" s="46">
        <f>SUM(E590:$Q590)/D588</f>
        <v>1494.7417077091868</v>
      </c>
      <c r="E591" s="46">
        <f>SUM(F590:$Q590)/E588</f>
        <v>1573.1552337049814</v>
      </c>
      <c r="F591" s="46">
        <f>SUM(G590:$Q590)/F588</f>
        <v>1828.079183378515</v>
      </c>
      <c r="G591" s="33">
        <f>SUM(H590:$Q590)/G588</f>
        <v>1910.3666872410727</v>
      </c>
      <c r="H591" s="46">
        <f>SUM(I590:$Q590)/H588</f>
        <v>1967.4696890927692</v>
      </c>
      <c r="I591" s="46">
        <f>SUM(J590:$Q590)/I588</f>
        <v>2026.2600611111186</v>
      </c>
      <c r="J591" s="46">
        <f>SUM(K590:$Q590)/J588</f>
        <v>2087.0478629444533</v>
      </c>
      <c r="K591" s="46">
        <f>SUM(L590:$Q590)/K588</f>
        <v>2149.6592988327875</v>
      </c>
      <c r="L591" s="46">
        <f>SUM(M590:$Q590)/L588</f>
        <v>2214.149077797772</v>
      </c>
      <c r="M591" s="33">
        <f>SUM(N590:$Q590)/M588</f>
        <v>2280.5735501317067</v>
      </c>
      <c r="N591" s="46">
        <f>SUM(O590:$Q590)/N588</f>
        <v>2348.990756635659</v>
      </c>
      <c r="O591" s="46">
        <f>SUM(P590:$Q590)/O588</f>
        <v>2419.46047933473</v>
      </c>
      <c r="P591" s="46">
        <f>SUM(Q590:$Q590)/P588</f>
        <v>2492.044293714772</v>
      </c>
      <c r="Q591" s="46"/>
    </row>
    <row r="592" spans="1:16" ht="12.75" customHeight="1">
      <c r="A592" s="20"/>
      <c r="D592" s="50"/>
      <c r="E592" s="50"/>
      <c r="F592" s="50"/>
      <c r="G592" s="199"/>
      <c r="H592" s="50"/>
      <c r="I592" s="50"/>
      <c r="J592" s="50"/>
      <c r="K592" s="50"/>
      <c r="L592" s="50"/>
      <c r="M592" s="38"/>
      <c r="N592" s="50"/>
      <c r="O592" s="50"/>
      <c r="P592" s="50"/>
    </row>
    <row r="593" spans="1:23" s="7" customFormat="1" ht="12" customHeight="1">
      <c r="A593" s="20"/>
      <c r="C593" s="7" t="s">
        <v>1</v>
      </c>
      <c r="D593" s="60">
        <f aca="true" t="shared" si="397" ref="D593:Q593">D$133</f>
        <v>0.09</v>
      </c>
      <c r="E593" s="60">
        <f t="shared" si="397"/>
        <v>0.09</v>
      </c>
      <c r="F593" s="60">
        <f t="shared" si="397"/>
        <v>0.09</v>
      </c>
      <c r="G593" s="60">
        <f t="shared" si="397"/>
        <v>0.09</v>
      </c>
      <c r="H593" s="60">
        <f t="shared" si="397"/>
        <v>0.09</v>
      </c>
      <c r="I593" s="60">
        <f t="shared" si="397"/>
        <v>0.09</v>
      </c>
      <c r="J593" s="60">
        <f t="shared" si="397"/>
        <v>0.09</v>
      </c>
      <c r="K593" s="60">
        <f t="shared" si="397"/>
        <v>0.09</v>
      </c>
      <c r="L593" s="60">
        <f t="shared" si="397"/>
        <v>0.09</v>
      </c>
      <c r="M593" s="60">
        <f t="shared" si="397"/>
        <v>0.09</v>
      </c>
      <c r="N593" s="60">
        <f t="shared" si="397"/>
        <v>0.09</v>
      </c>
      <c r="O593" s="60">
        <f t="shared" si="397"/>
        <v>0.09</v>
      </c>
      <c r="P593" s="60">
        <f t="shared" si="397"/>
        <v>0.09</v>
      </c>
      <c r="Q593" s="60">
        <f t="shared" si="397"/>
        <v>0.09</v>
      </c>
      <c r="R593" s="66"/>
      <c r="S593" s="66"/>
      <c r="T593" s="66"/>
      <c r="U593" s="66"/>
      <c r="V593" s="66"/>
      <c r="W593" s="66"/>
    </row>
    <row r="594" spans="1:17" ht="10.5" customHeight="1" hidden="1">
      <c r="A594" s="20"/>
      <c r="C594" s="26" t="s">
        <v>147</v>
      </c>
      <c r="D594" s="14">
        <v>1</v>
      </c>
      <c r="E594" s="14">
        <f>1/(1+D593)</f>
        <v>0.9174311926605504</v>
      </c>
      <c r="F594" s="14">
        <f aca="true" t="shared" si="398" ref="F594:Q594">E594/(1+E593)</f>
        <v>0.84167999326656</v>
      </c>
      <c r="G594" s="119">
        <f t="shared" si="398"/>
        <v>0.7721834800610641</v>
      </c>
      <c r="H594" s="14">
        <f t="shared" si="398"/>
        <v>0.7084252110651964</v>
      </c>
      <c r="I594" s="14">
        <f t="shared" si="398"/>
        <v>0.6499313862983452</v>
      </c>
      <c r="J594" s="14">
        <f t="shared" si="398"/>
        <v>0.5962673268792158</v>
      </c>
      <c r="K594" s="14">
        <f t="shared" si="398"/>
        <v>0.5470342448433172</v>
      </c>
      <c r="L594" s="14">
        <f t="shared" si="398"/>
        <v>0.501866279672768</v>
      </c>
      <c r="M594" s="119">
        <f t="shared" si="398"/>
        <v>0.4604277795163009</v>
      </c>
      <c r="N594" s="14">
        <f t="shared" si="398"/>
        <v>0.42241080689568883</v>
      </c>
      <c r="O594" s="14">
        <f t="shared" si="398"/>
        <v>0.38753285036301727</v>
      </c>
      <c r="P594" s="14">
        <f t="shared" si="398"/>
        <v>0.35553472510368556</v>
      </c>
      <c r="Q594" s="14">
        <f t="shared" si="398"/>
        <v>0.3261786468841152</v>
      </c>
    </row>
    <row r="595" spans="1:17" ht="10.5" customHeight="1" hidden="1">
      <c r="A595" s="54"/>
      <c r="B595" s="51"/>
      <c r="C595" s="51" t="s">
        <v>82</v>
      </c>
      <c r="D595" s="51"/>
      <c r="E595" s="51">
        <f aca="true" t="shared" si="399" ref="E595:P595">E585</f>
        <v>146.11322769803263</v>
      </c>
      <c r="F595" s="51">
        <f t="shared" si="399"/>
        <v>-123.33997864008546</v>
      </c>
      <c r="G595" s="120">
        <f t="shared" si="399"/>
        <v>181.2396226415094</v>
      </c>
      <c r="H595" s="51">
        <f t="shared" si="399"/>
        <v>180.83000000000004</v>
      </c>
      <c r="I595" s="51">
        <f t="shared" si="399"/>
        <v>186.26189999999968</v>
      </c>
      <c r="J595" s="51">
        <f t="shared" si="399"/>
        <v>191.5950036666665</v>
      </c>
      <c r="K595" s="51">
        <f t="shared" si="399"/>
        <v>197.3428537766663</v>
      </c>
      <c r="L595" s="51">
        <f t="shared" si="399"/>
        <v>203.26313938996697</v>
      </c>
      <c r="M595" s="120">
        <f t="shared" si="399"/>
        <v>209.36103357166508</v>
      </c>
      <c r="N595" s="51">
        <f t="shared" si="399"/>
        <v>215.64186457881544</v>
      </c>
      <c r="O595" s="51">
        <f t="shared" si="399"/>
        <v>222.11112051618008</v>
      </c>
      <c r="P595" s="51">
        <f t="shared" si="399"/>
        <v>228.77445413166663</v>
      </c>
      <c r="Q595" s="1">
        <f>P595*(1+O$8)+P595*(1+O$8)*(1+O$8)/(P593-O$8)</f>
        <v>4280.751327560369</v>
      </c>
    </row>
    <row r="596" spans="1:17" ht="10.5" customHeight="1" hidden="1">
      <c r="A596" s="20"/>
      <c r="C596" s="26" t="s">
        <v>127</v>
      </c>
      <c r="D596" s="1"/>
      <c r="E596" s="1">
        <f aca="true" t="shared" si="400" ref="E596:Q596">E595*E594</f>
        <v>134.04883275048866</v>
      </c>
      <c r="F596" s="1">
        <f t="shared" si="400"/>
        <v>-103.81279239128479</v>
      </c>
      <c r="G596" s="36">
        <f t="shared" si="400"/>
        <v>139.95024253627477</v>
      </c>
      <c r="H596" s="1">
        <f t="shared" si="400"/>
        <v>128.1045309169195</v>
      </c>
      <c r="I596" s="1">
        <f t="shared" si="400"/>
        <v>121.05745488156354</v>
      </c>
      <c r="J596" s="1">
        <f t="shared" si="400"/>
        <v>114.2418406797368</v>
      </c>
      <c r="K596" s="1">
        <f t="shared" si="400"/>
        <v>107.95329899094381</v>
      </c>
      <c r="L596" s="1">
        <f t="shared" si="400"/>
        <v>102.01091556024998</v>
      </c>
      <c r="M596" s="36">
        <f t="shared" si="400"/>
        <v>96.39563580463947</v>
      </c>
      <c r="N596" s="1">
        <f t="shared" si="400"/>
        <v>91.08945401722829</v>
      </c>
      <c r="O596" s="1">
        <f t="shared" si="400"/>
        <v>86.07535563095891</v>
      </c>
      <c r="P596" s="1">
        <f t="shared" si="400"/>
        <v>81.33726266044782</v>
      </c>
      <c r="Q596" s="1">
        <f t="shared" si="400"/>
        <v>1396.2896756710209</v>
      </c>
    </row>
    <row r="597" spans="1:17" ht="10.5" customHeight="1">
      <c r="A597" s="20">
        <v>52</v>
      </c>
      <c r="B597" s="4" t="s">
        <v>167</v>
      </c>
      <c r="C597" s="51" t="s">
        <v>168</v>
      </c>
      <c r="D597" s="22">
        <f>SUM(E596:$Q596)/D594</f>
        <v>2494.7417077091877</v>
      </c>
      <c r="E597" s="22">
        <f>SUM(F596:$Q596)/E594</f>
        <v>2573.1552337049816</v>
      </c>
      <c r="F597" s="22">
        <f>SUM(G596:$Q596)/F594</f>
        <v>2928.079183378516</v>
      </c>
      <c r="G597" s="111">
        <f>SUM(H596:$Q596)/G594</f>
        <v>3010.366687241073</v>
      </c>
      <c r="H597" s="22">
        <f>SUM(I596:$Q596)/H594</f>
        <v>3100.46968909277</v>
      </c>
      <c r="I597" s="22">
        <f>SUM(J596:$Q596)/I594</f>
        <v>3193.25006111112</v>
      </c>
      <c r="J597" s="22">
        <f>SUM(K596:$Q596)/J594</f>
        <v>3289.0475629444545</v>
      </c>
      <c r="K597" s="22">
        <f>SUM(L596:$Q596)/K594</f>
        <v>3387.7189898327897</v>
      </c>
      <c r="L597" s="22">
        <f>SUM(M596:$Q596)/L594</f>
        <v>3489.3505595277743</v>
      </c>
      <c r="M597" s="111">
        <f>SUM(N596:$Q596)/M594</f>
        <v>3594.031076313609</v>
      </c>
      <c r="N597" s="22">
        <f>SUM(O596:$Q596)/N594</f>
        <v>3701.852008603019</v>
      </c>
      <c r="O597" s="22">
        <f>SUM(P596:$Q596)/O594</f>
        <v>3812.9075688611106</v>
      </c>
      <c r="P597" s="22">
        <f>SUM(Q596:$Q596)/P594</f>
        <v>3927.294795926944</v>
      </c>
      <c r="Q597" s="22"/>
    </row>
    <row r="598" spans="1:17" ht="12.75" customHeight="1">
      <c r="A598" s="20">
        <v>53</v>
      </c>
      <c r="B598" s="4" t="s">
        <v>138</v>
      </c>
      <c r="C598" s="47" t="s">
        <v>169</v>
      </c>
      <c r="D598" s="46">
        <f>D597-D$144</f>
        <v>1494.741707709187</v>
      </c>
      <c r="E598" s="46">
        <f aca="true" t="shared" si="401" ref="E598:P598">E597-E$144</f>
        <v>1573.1552337049807</v>
      </c>
      <c r="F598" s="46">
        <f t="shared" si="401"/>
        <v>1828.0791833785152</v>
      </c>
      <c r="G598" s="46">
        <f t="shared" si="401"/>
        <v>1910.366687241072</v>
      </c>
      <c r="H598" s="46">
        <f t="shared" si="401"/>
        <v>1967.4696890927687</v>
      </c>
      <c r="I598" s="46">
        <f t="shared" si="401"/>
        <v>2026.2600611111186</v>
      </c>
      <c r="J598" s="46">
        <f t="shared" si="401"/>
        <v>2087.047862944453</v>
      </c>
      <c r="K598" s="46">
        <f t="shared" si="401"/>
        <v>2149.659298832788</v>
      </c>
      <c r="L598" s="46">
        <f t="shared" si="401"/>
        <v>2214.1490777977724</v>
      </c>
      <c r="M598" s="46">
        <f t="shared" si="401"/>
        <v>2280.5735501317067</v>
      </c>
      <c r="N598" s="46">
        <f t="shared" si="401"/>
        <v>2348.9907566356596</v>
      </c>
      <c r="O598" s="46">
        <f t="shared" si="401"/>
        <v>2419.46047933473</v>
      </c>
      <c r="P598" s="46">
        <f t="shared" si="401"/>
        <v>2492.044293714772</v>
      </c>
      <c r="Q598" s="24"/>
    </row>
    <row r="599" spans="1:16" ht="12.75" customHeight="1">
      <c r="A599" s="20"/>
      <c r="B599" s="128"/>
      <c r="C599" s="113"/>
      <c r="D599" s="129"/>
      <c r="E599" s="129"/>
      <c r="F599" s="129"/>
      <c r="G599" s="59"/>
      <c r="H599" s="129"/>
      <c r="I599" s="129"/>
      <c r="J599" s="52"/>
      <c r="K599" s="52"/>
      <c r="L599" s="52"/>
      <c r="M599" s="125"/>
      <c r="N599" s="52"/>
      <c r="O599" s="52"/>
      <c r="P599" s="52"/>
    </row>
    <row r="600" spans="1:16" ht="12.75" customHeight="1">
      <c r="A600" s="20"/>
      <c r="B600" s="128"/>
      <c r="C600" s="113"/>
      <c r="D600" s="129"/>
      <c r="E600" s="129"/>
      <c r="F600" s="129"/>
      <c r="G600" s="59"/>
      <c r="H600" s="129"/>
      <c r="I600" s="129"/>
      <c r="J600" s="52"/>
      <c r="K600" s="52"/>
      <c r="L600" s="52"/>
      <c r="M600" s="125"/>
      <c r="N600" s="52"/>
      <c r="O600" s="52"/>
      <c r="P600" s="52"/>
    </row>
    <row r="601" spans="1:16" ht="12.75" customHeight="1">
      <c r="A601" s="20"/>
      <c r="B601" s="128"/>
      <c r="C601" s="113"/>
      <c r="D601" s="129"/>
      <c r="E601" s="129"/>
      <c r="F601" s="129"/>
      <c r="G601" s="59"/>
      <c r="H601" s="129"/>
      <c r="I601" s="129"/>
      <c r="J601" s="52"/>
      <c r="K601" s="52"/>
      <c r="L601" s="52"/>
      <c r="M601" s="125"/>
      <c r="N601" s="52"/>
      <c r="O601" s="52"/>
      <c r="P601" s="52"/>
    </row>
    <row r="602" spans="1:16" ht="12.75" customHeight="1">
      <c r="A602" s="20"/>
      <c r="B602" s="128"/>
      <c r="C602" s="113"/>
      <c r="D602" s="129"/>
      <c r="E602" s="129"/>
      <c r="F602" s="129"/>
      <c r="G602" s="59"/>
      <c r="H602" s="129"/>
      <c r="I602" s="129"/>
      <c r="J602" s="52"/>
      <c r="K602" s="52"/>
      <c r="L602" s="52"/>
      <c r="M602" s="125"/>
      <c r="N602" s="52"/>
      <c r="O602" s="52"/>
      <c r="P602" s="52"/>
    </row>
    <row r="603" spans="1:16" ht="12.75" customHeight="1">
      <c r="A603" s="20"/>
      <c r="B603" s="128"/>
      <c r="C603" s="113"/>
      <c r="D603" s="129"/>
      <c r="E603" s="129"/>
      <c r="F603" s="129"/>
      <c r="G603" s="59"/>
      <c r="H603" s="129"/>
      <c r="I603" s="129"/>
      <c r="J603" s="52"/>
      <c r="K603" s="52"/>
      <c r="L603" s="52"/>
      <c r="M603" s="125"/>
      <c r="N603" s="52"/>
      <c r="O603" s="52"/>
      <c r="P603" s="52"/>
    </row>
    <row r="604" spans="1:16" ht="12.75" customHeight="1">
      <c r="A604" s="20"/>
      <c r="B604" s="128"/>
      <c r="C604" s="113"/>
      <c r="D604" s="129"/>
      <c r="E604" s="129"/>
      <c r="F604" s="129"/>
      <c r="G604" s="59"/>
      <c r="H604" s="129"/>
      <c r="I604" s="129"/>
      <c r="J604" s="52"/>
      <c r="K604" s="52"/>
      <c r="L604" s="52"/>
      <c r="M604" s="125"/>
      <c r="N604" s="52"/>
      <c r="O604" s="52"/>
      <c r="P604" s="52"/>
    </row>
    <row r="605" spans="1:16" ht="12.75" customHeight="1">
      <c r="A605" s="20"/>
      <c r="B605" s="128"/>
      <c r="C605" s="113"/>
      <c r="D605" s="129"/>
      <c r="E605" s="129"/>
      <c r="F605" s="129"/>
      <c r="G605" s="59"/>
      <c r="H605" s="129"/>
      <c r="I605" s="129"/>
      <c r="J605" s="52"/>
      <c r="K605" s="52"/>
      <c r="L605" s="52"/>
      <c r="M605" s="125"/>
      <c r="N605" s="52"/>
      <c r="O605" s="52"/>
      <c r="P605" s="52"/>
    </row>
    <row r="606" spans="1:16" ht="12.75" customHeight="1">
      <c r="A606" s="20"/>
      <c r="B606" s="128"/>
      <c r="C606" s="113"/>
      <c r="D606" s="129"/>
      <c r="E606" s="129"/>
      <c r="F606" s="129"/>
      <c r="G606" s="59"/>
      <c r="H606" s="129"/>
      <c r="I606" s="129"/>
      <c r="J606" s="52"/>
      <c r="K606" s="52"/>
      <c r="L606" s="52"/>
      <c r="M606" s="125"/>
      <c r="N606" s="52"/>
      <c r="O606" s="52"/>
      <c r="P606" s="52"/>
    </row>
    <row r="607" spans="1:16" ht="12.75" customHeight="1">
      <c r="A607" s="20"/>
      <c r="B607" s="128"/>
      <c r="C607" s="113"/>
      <c r="D607" s="129"/>
      <c r="E607" s="129"/>
      <c r="F607" s="129"/>
      <c r="G607" s="59"/>
      <c r="H607" s="129"/>
      <c r="I607" s="129"/>
      <c r="J607" s="52"/>
      <c r="K607" s="52"/>
      <c r="L607" s="52"/>
      <c r="M607" s="125"/>
      <c r="N607" s="52"/>
      <c r="O607" s="52"/>
      <c r="P607" s="52"/>
    </row>
    <row r="608" spans="1:16" ht="12.75" customHeight="1">
      <c r="A608" s="20"/>
      <c r="B608" s="128"/>
      <c r="C608" s="113"/>
      <c r="D608" s="129"/>
      <c r="E608" s="129"/>
      <c r="F608" s="129"/>
      <c r="G608" s="59"/>
      <c r="H608" s="129"/>
      <c r="I608" s="129"/>
      <c r="J608" s="52"/>
      <c r="K608" s="52"/>
      <c r="L608" s="52"/>
      <c r="M608" s="125"/>
      <c r="N608" s="52"/>
      <c r="O608" s="52"/>
      <c r="P608" s="52"/>
    </row>
    <row r="609" spans="1:16" ht="12.75" customHeight="1">
      <c r="A609" s="20"/>
      <c r="B609" s="128"/>
      <c r="C609" s="113"/>
      <c r="D609" s="129"/>
      <c r="E609" s="129"/>
      <c r="F609" s="129"/>
      <c r="G609" s="59"/>
      <c r="H609" s="129"/>
      <c r="I609" s="129"/>
      <c r="J609" s="52"/>
      <c r="K609" s="52"/>
      <c r="L609" s="52"/>
      <c r="M609" s="125"/>
      <c r="N609" s="52"/>
      <c r="O609" s="52"/>
      <c r="P609" s="52"/>
    </row>
    <row r="610" spans="1:16" ht="12.75" customHeight="1">
      <c r="A610" s="20"/>
      <c r="B610" s="128"/>
      <c r="C610" s="113"/>
      <c r="D610" s="129"/>
      <c r="E610" s="129"/>
      <c r="F610" s="129"/>
      <c r="G610" s="59"/>
      <c r="H610" s="129"/>
      <c r="I610" s="129"/>
      <c r="J610" s="52"/>
      <c r="K610" s="52"/>
      <c r="L610" s="52"/>
      <c r="M610" s="125"/>
      <c r="N610" s="52"/>
      <c r="O610" s="52"/>
      <c r="P610" s="52"/>
    </row>
    <row r="611" spans="1:16" ht="12.75" customHeight="1">
      <c r="A611" s="20"/>
      <c r="B611" s="128"/>
      <c r="C611" s="113"/>
      <c r="D611" s="129"/>
      <c r="E611" s="129"/>
      <c r="F611" s="129"/>
      <c r="G611" s="59"/>
      <c r="H611" s="129"/>
      <c r="I611" s="129"/>
      <c r="J611" s="52"/>
      <c r="K611" s="52"/>
      <c r="L611" s="52"/>
      <c r="M611" s="125"/>
      <c r="N611" s="52"/>
      <c r="O611" s="52"/>
      <c r="P611" s="52"/>
    </row>
    <row r="612" spans="1:16" ht="12.75" customHeight="1">
      <c r="A612" s="20"/>
      <c r="B612" s="128"/>
      <c r="C612" s="113"/>
      <c r="D612" s="129"/>
      <c r="E612" s="129"/>
      <c r="F612" s="129"/>
      <c r="G612" s="59"/>
      <c r="H612" s="129"/>
      <c r="I612" s="129"/>
      <c r="J612" s="52"/>
      <c r="K612" s="52"/>
      <c r="L612" s="52"/>
      <c r="M612" s="125"/>
      <c r="N612" s="52"/>
      <c r="O612" s="52"/>
      <c r="P612" s="52"/>
    </row>
    <row r="613" spans="1:16" ht="12.75" customHeight="1">
      <c r="A613" s="20"/>
      <c r="B613" s="128"/>
      <c r="C613" s="113"/>
      <c r="D613" s="129"/>
      <c r="E613" s="129"/>
      <c r="F613" s="129"/>
      <c r="G613" s="59"/>
      <c r="H613" s="129"/>
      <c r="I613" s="129"/>
      <c r="J613" s="52"/>
      <c r="K613" s="52"/>
      <c r="L613" s="52"/>
      <c r="M613" s="125"/>
      <c r="N613" s="52"/>
      <c r="O613" s="52"/>
      <c r="P613" s="52"/>
    </row>
    <row r="614" spans="1:16" ht="12.75" customHeight="1">
      <c r="A614" s="20"/>
      <c r="B614" s="128"/>
      <c r="C614" s="113"/>
      <c r="D614" s="129"/>
      <c r="E614" s="129"/>
      <c r="F614" s="129"/>
      <c r="G614" s="59"/>
      <c r="H614" s="129"/>
      <c r="I614" s="129"/>
      <c r="J614" s="52"/>
      <c r="K614" s="52"/>
      <c r="L614" s="52"/>
      <c r="M614" s="125"/>
      <c r="N614" s="52"/>
      <c r="O614" s="52"/>
      <c r="P614" s="52"/>
    </row>
    <row r="615" spans="1:16" ht="12.75" customHeight="1">
      <c r="A615" s="20"/>
      <c r="B615" s="128"/>
      <c r="C615" s="113"/>
      <c r="D615" s="129"/>
      <c r="E615" s="129"/>
      <c r="F615" s="129"/>
      <c r="G615" s="59"/>
      <c r="H615" s="129"/>
      <c r="I615" s="129"/>
      <c r="J615" s="52"/>
      <c r="K615" s="52"/>
      <c r="L615" s="52"/>
      <c r="M615" s="125"/>
      <c r="N615" s="52"/>
      <c r="O615" s="52"/>
      <c r="P615" s="52"/>
    </row>
    <row r="616" spans="1:16" ht="12.75" customHeight="1">
      <c r="A616" s="20"/>
      <c r="B616" s="128"/>
      <c r="C616" s="113"/>
      <c r="D616" s="129"/>
      <c r="E616" s="129"/>
      <c r="F616" s="129"/>
      <c r="G616" s="59"/>
      <c r="H616" s="129"/>
      <c r="I616" s="129"/>
      <c r="J616" s="52"/>
      <c r="K616" s="52"/>
      <c r="L616" s="52"/>
      <c r="M616" s="125"/>
      <c r="N616" s="52"/>
      <c r="O616" s="52"/>
      <c r="P616" s="52"/>
    </row>
    <row r="617" spans="1:16" ht="12.75" customHeight="1">
      <c r="A617" s="20"/>
      <c r="B617" s="128"/>
      <c r="C617" s="113"/>
      <c r="D617" s="129"/>
      <c r="E617" s="129"/>
      <c r="F617" s="129"/>
      <c r="G617" s="59"/>
      <c r="H617" s="129"/>
      <c r="I617" s="129"/>
      <c r="J617" s="52"/>
      <c r="K617" s="52"/>
      <c r="L617" s="52"/>
      <c r="M617" s="125"/>
      <c r="N617" s="52"/>
      <c r="O617" s="52"/>
      <c r="P617" s="52"/>
    </row>
    <row r="618" spans="1:16" ht="12.75" customHeight="1">
      <c r="A618" s="20"/>
      <c r="B618" s="128"/>
      <c r="C618" s="113"/>
      <c r="D618" s="129"/>
      <c r="E618" s="129"/>
      <c r="F618" s="129"/>
      <c r="G618" s="59"/>
      <c r="H618" s="129"/>
      <c r="I618" s="129"/>
      <c r="J618" s="52"/>
      <c r="K618" s="52"/>
      <c r="L618" s="52"/>
      <c r="M618" s="125"/>
      <c r="N618" s="52"/>
      <c r="O618" s="52"/>
      <c r="P618" s="52"/>
    </row>
    <row r="619" spans="1:16" ht="12.75" customHeight="1">
      <c r="A619" s="20"/>
      <c r="B619" s="128"/>
      <c r="C619" s="113"/>
      <c r="D619" s="129"/>
      <c r="E619" s="129"/>
      <c r="F619" s="129"/>
      <c r="G619" s="59"/>
      <c r="H619" s="129"/>
      <c r="I619" s="129"/>
      <c r="J619" s="52"/>
      <c r="K619" s="52"/>
      <c r="L619" s="52"/>
      <c r="M619" s="125"/>
      <c r="N619" s="52"/>
      <c r="O619" s="52"/>
      <c r="P619" s="52"/>
    </row>
    <row r="620" spans="1:16" ht="12.75" customHeight="1">
      <c r="A620" s="20"/>
      <c r="B620" s="128"/>
      <c r="C620" s="113"/>
      <c r="D620" s="129"/>
      <c r="E620" s="129"/>
      <c r="F620" s="129"/>
      <c r="G620" s="59"/>
      <c r="H620" s="129"/>
      <c r="I620" s="129"/>
      <c r="J620" s="52"/>
      <c r="K620" s="52"/>
      <c r="L620" s="52"/>
      <c r="M620" s="125"/>
      <c r="N620" s="52"/>
      <c r="O620" s="52"/>
      <c r="P620" s="52"/>
    </row>
    <row r="621" spans="1:16" ht="12.75" customHeight="1">
      <c r="A621" s="20"/>
      <c r="B621" s="128"/>
      <c r="C621" s="113"/>
      <c r="D621" s="129"/>
      <c r="E621" s="129"/>
      <c r="F621" s="129"/>
      <c r="G621" s="59"/>
      <c r="H621" s="129"/>
      <c r="I621" s="129"/>
      <c r="J621" s="52"/>
      <c r="K621" s="52"/>
      <c r="L621" s="52"/>
      <c r="M621" s="125"/>
      <c r="N621" s="52"/>
      <c r="O621" s="52"/>
      <c r="P621" s="52"/>
    </row>
    <row r="622" spans="1:16" ht="12.75" customHeight="1">
      <c r="A622" s="20"/>
      <c r="B622" s="128"/>
      <c r="C622" s="113"/>
      <c r="D622" s="129"/>
      <c r="E622" s="129"/>
      <c r="F622" s="129"/>
      <c r="G622" s="59"/>
      <c r="H622" s="129"/>
      <c r="I622" s="129"/>
      <c r="J622" s="52"/>
      <c r="K622" s="52"/>
      <c r="L622" s="52"/>
      <c r="M622" s="125"/>
      <c r="N622" s="52"/>
      <c r="O622" s="52"/>
      <c r="P622" s="52"/>
    </row>
    <row r="623" spans="1:16" ht="12.75" customHeight="1">
      <c r="A623" s="20"/>
      <c r="B623" s="128"/>
      <c r="C623" s="113"/>
      <c r="D623" s="129"/>
      <c r="E623" s="129"/>
      <c r="F623" s="129"/>
      <c r="G623" s="59"/>
      <c r="H623" s="129"/>
      <c r="I623" s="129"/>
      <c r="J623" s="52"/>
      <c r="K623" s="52"/>
      <c r="L623" s="52"/>
      <c r="M623" s="125"/>
      <c r="N623" s="52"/>
      <c r="O623" s="52"/>
      <c r="P623" s="52"/>
    </row>
    <row r="624" spans="1:16" ht="12.75" customHeight="1">
      <c r="A624" s="20"/>
      <c r="B624" s="128"/>
      <c r="C624" s="113"/>
      <c r="D624" s="129"/>
      <c r="E624" s="129"/>
      <c r="F624" s="129"/>
      <c r="G624" s="59"/>
      <c r="H624" s="129"/>
      <c r="I624" s="129"/>
      <c r="J624" s="52"/>
      <c r="K624" s="52"/>
      <c r="L624" s="52"/>
      <c r="M624" s="125"/>
      <c r="N624" s="52"/>
      <c r="O624" s="52"/>
      <c r="P624" s="52"/>
    </row>
    <row r="625" spans="1:16" ht="12.75" customHeight="1">
      <c r="A625" s="20"/>
      <c r="B625" s="128"/>
      <c r="C625" s="113"/>
      <c r="D625" s="129"/>
      <c r="E625" s="129"/>
      <c r="F625" s="129"/>
      <c r="G625" s="59"/>
      <c r="H625" s="129"/>
      <c r="I625" s="129"/>
      <c r="J625" s="52"/>
      <c r="K625" s="52"/>
      <c r="L625" s="52"/>
      <c r="M625" s="125"/>
      <c r="N625" s="52"/>
      <c r="O625" s="52"/>
      <c r="P625" s="52"/>
    </row>
    <row r="626" spans="1:16" ht="12.75" customHeight="1">
      <c r="A626" s="20"/>
      <c r="B626" s="128"/>
      <c r="C626" s="113"/>
      <c r="D626" s="129"/>
      <c r="E626" s="129"/>
      <c r="F626" s="129"/>
      <c r="G626" s="59"/>
      <c r="H626" s="129"/>
      <c r="I626" s="129"/>
      <c r="J626" s="52"/>
      <c r="K626" s="52"/>
      <c r="L626" s="52"/>
      <c r="M626" s="125"/>
      <c r="N626" s="52"/>
      <c r="O626" s="52"/>
      <c r="P626" s="52"/>
    </row>
    <row r="627" spans="1:16" ht="12.75" customHeight="1">
      <c r="A627" s="20"/>
      <c r="B627" s="128"/>
      <c r="C627" s="113"/>
      <c r="D627" s="129"/>
      <c r="E627" s="129"/>
      <c r="F627" s="129"/>
      <c r="G627" s="59"/>
      <c r="H627" s="129"/>
      <c r="I627" s="129"/>
      <c r="J627" s="52"/>
      <c r="K627" s="52"/>
      <c r="L627" s="52"/>
      <c r="M627" s="125"/>
      <c r="N627" s="52"/>
      <c r="O627" s="52"/>
      <c r="P627" s="52"/>
    </row>
    <row r="628" spans="1:16" ht="12.75" customHeight="1">
      <c r="A628" s="20"/>
      <c r="B628" s="128"/>
      <c r="C628" s="113"/>
      <c r="D628" s="129"/>
      <c r="E628" s="129"/>
      <c r="F628" s="129"/>
      <c r="G628" s="59"/>
      <c r="H628" s="129"/>
      <c r="I628" s="129"/>
      <c r="J628" s="52"/>
      <c r="K628" s="52"/>
      <c r="L628" s="52"/>
      <c r="M628" s="125"/>
      <c r="N628" s="52"/>
      <c r="O628" s="52"/>
      <c r="P628" s="52"/>
    </row>
    <row r="629" spans="1:16" ht="12.75" customHeight="1">
      <c r="A629" s="20"/>
      <c r="B629" s="128"/>
      <c r="C629" s="113"/>
      <c r="D629" s="129"/>
      <c r="E629" s="129"/>
      <c r="F629" s="129"/>
      <c r="G629" s="59"/>
      <c r="H629" s="129"/>
      <c r="I629" s="134" t="s">
        <v>274</v>
      </c>
      <c r="J629" s="52"/>
      <c r="K629" s="52"/>
      <c r="L629" s="52"/>
      <c r="M629" s="125"/>
      <c r="N629" s="52"/>
      <c r="O629" s="52"/>
      <c r="P629" s="52"/>
    </row>
    <row r="630" spans="1:16" ht="12.75" customHeight="1">
      <c r="A630" s="20"/>
      <c r="B630" s="128"/>
      <c r="C630" s="113"/>
      <c r="D630" s="129"/>
      <c r="E630" s="129"/>
      <c r="F630" s="129"/>
      <c r="G630" s="59"/>
      <c r="H630" s="129"/>
      <c r="I630" s="129"/>
      <c r="J630" s="182" t="s">
        <v>275</v>
      </c>
      <c r="K630" s="52"/>
      <c r="L630" s="52"/>
      <c r="M630" s="125"/>
      <c r="N630" s="52"/>
      <c r="O630" s="52"/>
      <c r="P630" s="52"/>
    </row>
    <row r="631" spans="1:16" ht="12.75" customHeight="1">
      <c r="A631" s="20"/>
      <c r="B631" s="128"/>
      <c r="C631" s="184" t="s">
        <v>276</v>
      </c>
      <c r="D631" s="135" t="s">
        <v>277</v>
      </c>
      <c r="E631" s="183" t="s">
        <v>278</v>
      </c>
      <c r="F631" s="135" t="s">
        <v>279</v>
      </c>
      <c r="G631" s="183" t="s">
        <v>249</v>
      </c>
      <c r="H631" s="135" t="s">
        <v>280</v>
      </c>
      <c r="I631" s="135" t="s">
        <v>281</v>
      </c>
      <c r="J631" s="182" t="s">
        <v>281</v>
      </c>
      <c r="K631" s="52"/>
      <c r="L631" s="52"/>
      <c r="M631" s="125"/>
      <c r="N631" s="52"/>
      <c r="O631" s="52"/>
      <c r="P631" s="52"/>
    </row>
    <row r="632" spans="1:16" ht="12.75" customHeight="1">
      <c r="A632" s="20"/>
      <c r="B632" s="128"/>
      <c r="C632" s="113" t="s">
        <v>282</v>
      </c>
      <c r="D632" s="67">
        <f>D144</f>
        <v>1000.0000000000007</v>
      </c>
      <c r="E632" s="118">
        <f>D161</f>
        <v>1343.6281251161736</v>
      </c>
      <c r="F632" s="67">
        <f>D137</f>
        <v>1890.9674511081007</v>
      </c>
      <c r="G632" s="118">
        <f>D151</f>
        <v>452.6606740080724</v>
      </c>
      <c r="H632" s="67">
        <v>0</v>
      </c>
      <c r="I632" s="67">
        <f>G632-H632</f>
        <v>452.6606740080724</v>
      </c>
      <c r="J632" s="67">
        <f>F632+I632</f>
        <v>2343.628125116173</v>
      </c>
      <c r="K632" s="52"/>
      <c r="L632" s="52"/>
      <c r="M632" s="125"/>
      <c r="N632" s="52"/>
      <c r="O632" s="52"/>
      <c r="P632" s="52"/>
    </row>
    <row r="633" spans="1:16" ht="12.75" customHeight="1">
      <c r="A633" s="20"/>
      <c r="B633" s="128"/>
      <c r="C633" s="113" t="s">
        <v>180</v>
      </c>
      <c r="D633" s="67">
        <f>D632</f>
        <v>1000.0000000000007</v>
      </c>
      <c r="E633" s="118">
        <f>D323</f>
        <v>1226.271654077044</v>
      </c>
      <c r="F633" s="67">
        <f aca="true" t="shared" si="402" ref="F633:G635">F632</f>
        <v>1890.9674511081007</v>
      </c>
      <c r="G633" s="118">
        <f t="shared" si="402"/>
        <v>452.6606740080724</v>
      </c>
      <c r="H633" s="67">
        <f>D313</f>
        <v>117.35647103912947</v>
      </c>
      <c r="I633" s="67">
        <f>G633-H633</f>
        <v>335.30420296894295</v>
      </c>
      <c r="J633" s="67">
        <f>F633+I633</f>
        <v>2226.2716540770434</v>
      </c>
      <c r="K633" s="52"/>
      <c r="L633" s="52"/>
      <c r="M633" s="125"/>
      <c r="N633" s="52"/>
      <c r="O633" s="52"/>
      <c r="P633" s="52"/>
    </row>
    <row r="634" spans="1:16" ht="12.75" customHeight="1">
      <c r="A634" s="20"/>
      <c r="B634" s="128"/>
      <c r="C634" s="113" t="s">
        <v>203</v>
      </c>
      <c r="D634" s="67">
        <f>D633</f>
        <v>1000.0000000000007</v>
      </c>
      <c r="E634" s="118">
        <f>D395</f>
        <v>1025.0891322956772</v>
      </c>
      <c r="F634" s="67">
        <f t="shared" si="402"/>
        <v>1890.9674511081007</v>
      </c>
      <c r="G634" s="118">
        <f t="shared" si="402"/>
        <v>452.6606740080724</v>
      </c>
      <c r="H634" s="67">
        <f>D385</f>
        <v>318.5389928204952</v>
      </c>
      <c r="I634" s="67">
        <f>G634-H634</f>
        <v>134.12168118757722</v>
      </c>
      <c r="J634" s="67">
        <f>F634+I634</f>
        <v>2025.089132295678</v>
      </c>
      <c r="K634" s="52"/>
      <c r="L634" s="52"/>
      <c r="M634" s="125"/>
      <c r="N634" s="52"/>
      <c r="O634" s="52"/>
      <c r="P634" s="52"/>
    </row>
    <row r="635" spans="1:16" ht="12.75" customHeight="1">
      <c r="A635" s="20"/>
      <c r="B635" s="128"/>
      <c r="C635" s="113" t="s">
        <v>226</v>
      </c>
      <c r="D635" s="67">
        <f>D634</f>
        <v>1000.0000000000007</v>
      </c>
      <c r="E635" s="118">
        <f>D465</f>
        <v>1192.7412337801493</v>
      </c>
      <c r="F635" s="67">
        <f t="shared" si="402"/>
        <v>1890.9674511081007</v>
      </c>
      <c r="G635" s="118">
        <f t="shared" si="402"/>
        <v>452.6606740080724</v>
      </c>
      <c r="H635" s="67">
        <f>D455</f>
        <v>150.8868913360243</v>
      </c>
      <c r="I635" s="67">
        <f>G635-H635</f>
        <v>301.7737826720481</v>
      </c>
      <c r="J635" s="67">
        <f>F635+I635</f>
        <v>2192.741233780149</v>
      </c>
      <c r="K635" s="52"/>
      <c r="L635" s="52"/>
      <c r="M635" s="125"/>
      <c r="N635" s="52"/>
      <c r="O635" s="52"/>
      <c r="P635" s="52"/>
    </row>
    <row r="636" spans="1:16" ht="12.75" customHeight="1">
      <c r="A636" s="20"/>
      <c r="B636" s="128"/>
      <c r="C636" s="113" t="s">
        <v>254</v>
      </c>
      <c r="D636" s="67">
        <f>D635</f>
        <v>1000.0000000000007</v>
      </c>
      <c r="E636" s="118">
        <f>D575</f>
        <v>1494.7417077091823</v>
      </c>
      <c r="F636" s="67">
        <f>F635</f>
        <v>1890.9674511081007</v>
      </c>
      <c r="G636" s="118">
        <f>D539</f>
        <v>603.7742566010867</v>
      </c>
      <c r="H636" s="67">
        <v>0</v>
      </c>
      <c r="I636" s="67">
        <f>G636-H636</f>
        <v>603.7742566010867</v>
      </c>
      <c r="J636" s="67">
        <f>F636+I636</f>
        <v>2494.7417077091873</v>
      </c>
      <c r="K636" s="52"/>
      <c r="L636" s="52"/>
      <c r="M636" s="125"/>
      <c r="N636" s="52"/>
      <c r="O636" s="52"/>
      <c r="P636" s="52"/>
    </row>
    <row r="637" spans="1:16" ht="12.75" customHeight="1">
      <c r="A637" s="20"/>
      <c r="B637" s="128"/>
      <c r="C637" s="113" t="s">
        <v>283</v>
      </c>
      <c r="D637" s="67">
        <f>D22</f>
        <v>1000</v>
      </c>
      <c r="E637" s="118">
        <f>D23</f>
        <v>1000</v>
      </c>
      <c r="F637" s="129"/>
      <c r="G637" s="118"/>
      <c r="H637" s="67"/>
      <c r="I637" s="67"/>
      <c r="J637" s="5"/>
      <c r="K637" s="52"/>
      <c r="L637" s="52"/>
      <c r="M637" s="125"/>
      <c r="N637" s="52"/>
      <c r="O637" s="52"/>
      <c r="P637" s="52"/>
    </row>
    <row r="638" spans="1:16" ht="12.75" customHeight="1">
      <c r="A638" s="20"/>
      <c r="B638" s="128"/>
      <c r="C638" s="113" t="s">
        <v>284</v>
      </c>
      <c r="D638" s="67">
        <f>D137</f>
        <v>1890.9674511081007</v>
      </c>
      <c r="E638" s="118">
        <f>D151</f>
        <v>452.6606740080724</v>
      </c>
      <c r="F638" s="129"/>
      <c r="G638" s="118"/>
      <c r="H638" s="67"/>
      <c r="I638" s="67"/>
      <c r="J638" s="5"/>
      <c r="K638" s="52"/>
      <c r="L638" s="52"/>
      <c r="M638" s="125"/>
      <c r="N638" s="52"/>
      <c r="O638" s="52"/>
      <c r="P638" s="52"/>
    </row>
    <row r="639" spans="1:16" ht="12.75" customHeight="1">
      <c r="A639" s="20"/>
      <c r="B639" s="128"/>
      <c r="C639" s="113"/>
      <c r="D639" s="129"/>
      <c r="E639" s="129"/>
      <c r="F639" s="129"/>
      <c r="G639" s="59"/>
      <c r="H639" s="129"/>
      <c r="I639" s="129"/>
      <c r="J639" s="52"/>
      <c r="K639" s="52"/>
      <c r="L639" s="52"/>
      <c r="M639" s="125"/>
      <c r="N639" s="52"/>
      <c r="O639" s="52"/>
      <c r="P639" s="52"/>
    </row>
    <row r="640" spans="1:16" ht="12.75" customHeight="1">
      <c r="A640" s="20"/>
      <c r="B640" s="128"/>
      <c r="C640" s="113"/>
      <c r="D640" s="129"/>
      <c r="E640" s="129"/>
      <c r="F640" s="129"/>
      <c r="G640" s="59"/>
      <c r="H640" s="129"/>
      <c r="I640" s="129"/>
      <c r="J640" s="52"/>
      <c r="K640" s="52"/>
      <c r="L640" s="52"/>
      <c r="M640" s="125"/>
      <c r="N640" s="52"/>
      <c r="O640" s="52"/>
      <c r="P640" s="52"/>
    </row>
    <row r="641" spans="1:16" ht="12.75" customHeight="1">
      <c r="A641" s="20"/>
      <c r="B641" s="128"/>
      <c r="C641" s="113"/>
      <c r="D641" s="129"/>
      <c r="E641" s="129"/>
      <c r="F641" s="129"/>
      <c r="G641" s="59"/>
      <c r="H641" s="129"/>
      <c r="I641" s="129"/>
      <c r="J641" s="52"/>
      <c r="K641" s="52"/>
      <c r="L641" s="52"/>
      <c r="M641" s="125"/>
      <c r="N641" s="52"/>
      <c r="O641" s="52"/>
      <c r="P641" s="52"/>
    </row>
    <row r="642" spans="1:16" ht="12.75" customHeight="1">
      <c r="A642" s="20"/>
      <c r="B642" s="128"/>
      <c r="C642" s="113"/>
      <c r="D642" s="129"/>
      <c r="E642" s="129"/>
      <c r="F642" s="129"/>
      <c r="G642" s="59"/>
      <c r="H642" s="129"/>
      <c r="I642" s="129"/>
      <c r="J642" s="52"/>
      <c r="K642" s="52"/>
      <c r="L642" s="52"/>
      <c r="M642" s="125"/>
      <c r="N642" s="52"/>
      <c r="O642" s="52"/>
      <c r="P642" s="52"/>
    </row>
    <row r="643" spans="1:16" ht="12.75" customHeight="1">
      <c r="A643" s="20"/>
      <c r="B643" s="128"/>
      <c r="C643" s="113"/>
      <c r="D643" s="129"/>
      <c r="E643" s="129"/>
      <c r="F643" s="129"/>
      <c r="G643" s="59"/>
      <c r="H643" s="129"/>
      <c r="I643" s="129"/>
      <c r="J643" s="52"/>
      <c r="K643" s="52"/>
      <c r="L643" s="52"/>
      <c r="M643" s="125"/>
      <c r="N643" s="52"/>
      <c r="O643" s="52"/>
      <c r="P643" s="52"/>
    </row>
    <row r="644" spans="1:16" ht="12.75" customHeight="1">
      <c r="A644" s="20"/>
      <c r="B644" s="128"/>
      <c r="C644" s="113"/>
      <c r="D644" s="129"/>
      <c r="E644" s="129"/>
      <c r="F644" s="129"/>
      <c r="G644" s="59"/>
      <c r="H644" s="129"/>
      <c r="I644" s="129"/>
      <c r="J644" s="52"/>
      <c r="K644" s="52"/>
      <c r="L644" s="52"/>
      <c r="M644" s="125"/>
      <c r="N644" s="52"/>
      <c r="O644" s="52"/>
      <c r="P644" s="52"/>
    </row>
    <row r="645" spans="1:16" ht="12.75" customHeight="1">
      <c r="A645" s="20"/>
      <c r="B645" s="128"/>
      <c r="C645" s="113"/>
      <c r="D645" s="129"/>
      <c r="E645" s="129"/>
      <c r="F645" s="129"/>
      <c r="G645" s="59"/>
      <c r="H645" s="129"/>
      <c r="I645" s="129"/>
      <c r="J645" s="52"/>
      <c r="K645" s="52"/>
      <c r="L645" s="52"/>
      <c r="M645" s="125"/>
      <c r="N645" s="52"/>
      <c r="O645" s="52"/>
      <c r="P645" s="52"/>
    </row>
    <row r="646" spans="1:16" ht="12.75" customHeight="1">
      <c r="A646" s="20"/>
      <c r="B646" s="128"/>
      <c r="C646" s="113"/>
      <c r="D646" s="129"/>
      <c r="E646" s="129"/>
      <c r="F646" s="129"/>
      <c r="G646" s="59"/>
      <c r="H646" s="129"/>
      <c r="I646" s="129"/>
      <c r="J646" s="52"/>
      <c r="K646" s="52"/>
      <c r="L646" s="52"/>
      <c r="M646" s="125"/>
      <c r="N646" s="52"/>
      <c r="O646" s="52"/>
      <c r="P646" s="52"/>
    </row>
    <row r="647" spans="1:16" ht="12.75" customHeight="1">
      <c r="A647" s="20"/>
      <c r="B647" s="128"/>
      <c r="C647" s="113"/>
      <c r="D647" s="129"/>
      <c r="E647" s="129"/>
      <c r="F647" s="129"/>
      <c r="G647" s="59"/>
      <c r="H647" s="129"/>
      <c r="I647" s="129"/>
      <c r="J647" s="52"/>
      <c r="K647" s="52"/>
      <c r="L647" s="52"/>
      <c r="M647" s="125"/>
      <c r="N647" s="52"/>
      <c r="O647" s="52"/>
      <c r="P647" s="52"/>
    </row>
    <row r="648" spans="1:16" ht="12.75" customHeight="1">
      <c r="A648" s="20"/>
      <c r="B648" s="128"/>
      <c r="C648" s="113"/>
      <c r="D648" s="129"/>
      <c r="E648" s="129"/>
      <c r="F648" s="129"/>
      <c r="G648" s="59"/>
      <c r="H648" s="129"/>
      <c r="I648" s="129"/>
      <c r="J648" s="52"/>
      <c r="K648" s="52"/>
      <c r="L648" s="52"/>
      <c r="M648" s="125"/>
      <c r="N648" s="52"/>
      <c r="O648" s="52"/>
      <c r="P648" s="52"/>
    </row>
    <row r="649" spans="1:16" ht="12.75" customHeight="1">
      <c r="A649" s="20"/>
      <c r="B649" s="128"/>
      <c r="C649" s="113"/>
      <c r="D649" s="129"/>
      <c r="E649" s="129"/>
      <c r="F649" s="129"/>
      <c r="G649" s="59"/>
      <c r="H649" s="129"/>
      <c r="I649" s="129"/>
      <c r="J649" s="52"/>
      <c r="K649" s="52"/>
      <c r="L649" s="52"/>
      <c r="M649" s="125"/>
      <c r="N649" s="52"/>
      <c r="O649" s="52"/>
      <c r="P649" s="52"/>
    </row>
    <row r="650" spans="1:16" ht="12.75" customHeight="1">
      <c r="A650" s="20"/>
      <c r="B650" s="128"/>
      <c r="C650" s="113"/>
      <c r="D650" s="129"/>
      <c r="E650" s="129"/>
      <c r="F650" s="129"/>
      <c r="G650" s="59"/>
      <c r="H650" s="129"/>
      <c r="I650" s="129"/>
      <c r="J650" s="52"/>
      <c r="K650" s="52"/>
      <c r="L650" s="52"/>
      <c r="M650" s="125"/>
      <c r="N650" s="52"/>
      <c r="O650" s="52"/>
      <c r="P650" s="52"/>
    </row>
    <row r="651" spans="1:16" ht="12.75" customHeight="1">
      <c r="A651" s="20"/>
      <c r="B651" s="128"/>
      <c r="C651" s="113"/>
      <c r="D651" s="129"/>
      <c r="E651" s="129"/>
      <c r="F651" s="129"/>
      <c r="G651" s="59"/>
      <c r="H651" s="129"/>
      <c r="I651" s="129"/>
      <c r="J651" s="52"/>
      <c r="K651" s="52"/>
      <c r="L651" s="52"/>
      <c r="M651" s="125"/>
      <c r="N651" s="52"/>
      <c r="O651" s="52"/>
      <c r="P651" s="52"/>
    </row>
    <row r="652" spans="1:16" ht="12.75" customHeight="1">
      <c r="A652" s="20"/>
      <c r="B652" s="128"/>
      <c r="C652" s="113"/>
      <c r="D652" s="129"/>
      <c r="E652" s="129"/>
      <c r="F652" s="129"/>
      <c r="G652" s="59"/>
      <c r="H652" s="129"/>
      <c r="I652" s="129"/>
      <c r="J652" s="52"/>
      <c r="K652" s="52"/>
      <c r="L652" s="52"/>
      <c r="M652" s="125"/>
      <c r="N652" s="52"/>
      <c r="O652" s="52"/>
      <c r="P652" s="52"/>
    </row>
    <row r="653" spans="1:16" ht="12.75" customHeight="1">
      <c r="A653" s="20"/>
      <c r="B653" s="128"/>
      <c r="C653" s="113"/>
      <c r="D653" s="129"/>
      <c r="E653" s="129"/>
      <c r="F653" s="129"/>
      <c r="G653" s="59"/>
      <c r="H653" s="129"/>
      <c r="I653" s="129"/>
      <c r="J653" s="52"/>
      <c r="K653" s="52"/>
      <c r="L653" s="52"/>
      <c r="M653" s="125"/>
      <c r="N653" s="52"/>
      <c r="O653" s="52"/>
      <c r="P653" s="52"/>
    </row>
    <row r="654" spans="1:16" ht="12.75" customHeight="1">
      <c r="A654" s="20"/>
      <c r="B654" s="128"/>
      <c r="C654" s="113"/>
      <c r="D654" s="129"/>
      <c r="E654" s="129"/>
      <c r="F654" s="129"/>
      <c r="G654" s="59"/>
      <c r="H654" s="129"/>
      <c r="I654" s="129"/>
      <c r="J654" s="52"/>
      <c r="K654" s="52"/>
      <c r="L654" s="52"/>
      <c r="M654" s="125"/>
      <c r="N654" s="52"/>
      <c r="O654" s="52"/>
      <c r="P654" s="52"/>
    </row>
    <row r="655" spans="1:16" ht="12.75" customHeight="1">
      <c r="A655" s="20"/>
      <c r="B655" s="128"/>
      <c r="C655" s="113"/>
      <c r="D655" s="129"/>
      <c r="E655" s="129"/>
      <c r="F655" s="129"/>
      <c r="G655" s="59"/>
      <c r="H655" s="129"/>
      <c r="I655" s="129"/>
      <c r="J655" s="52"/>
      <c r="K655" s="52"/>
      <c r="L655" s="52"/>
      <c r="M655" s="125"/>
      <c r="N655" s="52"/>
      <c r="O655" s="52"/>
      <c r="P655" s="52"/>
    </row>
    <row r="656" spans="1:16" ht="12.75" customHeight="1">
      <c r="A656" s="20"/>
      <c r="B656" s="128"/>
      <c r="C656" s="113"/>
      <c r="D656" s="129"/>
      <c r="E656" s="129"/>
      <c r="F656" s="129"/>
      <c r="G656" s="59"/>
      <c r="H656" s="129"/>
      <c r="I656" s="129"/>
      <c r="J656" s="52"/>
      <c r="K656" s="52"/>
      <c r="L656" s="52"/>
      <c r="M656" s="125"/>
      <c r="N656" s="52"/>
      <c r="O656" s="52"/>
      <c r="P656" s="52"/>
    </row>
    <row r="657" spans="1:16" ht="12.75" customHeight="1">
      <c r="A657" s="20"/>
      <c r="B657" s="128"/>
      <c r="C657" s="113"/>
      <c r="D657" s="129"/>
      <c r="E657" s="129"/>
      <c r="F657" s="129"/>
      <c r="G657" s="59"/>
      <c r="H657" s="129"/>
      <c r="I657" s="129"/>
      <c r="J657" s="52"/>
      <c r="K657" s="52"/>
      <c r="L657" s="52"/>
      <c r="M657" s="125"/>
      <c r="N657" s="52"/>
      <c r="O657" s="52"/>
      <c r="P657" s="52"/>
    </row>
    <row r="658" spans="1:16" ht="12.75" customHeight="1">
      <c r="A658" s="20"/>
      <c r="B658" s="128"/>
      <c r="C658" s="113"/>
      <c r="D658" s="129"/>
      <c r="E658" s="129"/>
      <c r="F658" s="129"/>
      <c r="G658" s="59"/>
      <c r="H658" s="129"/>
      <c r="I658" s="129"/>
      <c r="J658" s="52"/>
      <c r="K658" s="52"/>
      <c r="L658" s="52"/>
      <c r="M658" s="125"/>
      <c r="N658" s="52"/>
      <c r="O658" s="52"/>
      <c r="P658" s="52"/>
    </row>
    <row r="659" spans="1:16" ht="12.75" customHeight="1">
      <c r="A659" s="20"/>
      <c r="B659" s="128"/>
      <c r="C659" s="113"/>
      <c r="D659" s="129"/>
      <c r="E659" s="129"/>
      <c r="F659" s="129"/>
      <c r="G659" s="59"/>
      <c r="H659" s="129"/>
      <c r="I659" s="129"/>
      <c r="J659" s="52"/>
      <c r="K659" s="52"/>
      <c r="L659" s="52"/>
      <c r="M659" s="125"/>
      <c r="N659" s="52"/>
      <c r="O659" s="52"/>
      <c r="P659" s="52"/>
    </row>
    <row r="660" spans="1:16" ht="12.75" customHeight="1">
      <c r="A660" s="20"/>
      <c r="B660" s="128"/>
      <c r="C660" s="113"/>
      <c r="D660" s="129"/>
      <c r="E660" s="129"/>
      <c r="F660" s="129"/>
      <c r="G660" s="59"/>
      <c r="H660" s="129"/>
      <c r="I660" s="129"/>
      <c r="J660" s="52"/>
      <c r="K660" s="52"/>
      <c r="L660" s="52"/>
      <c r="M660" s="125"/>
      <c r="N660" s="52"/>
      <c r="O660" s="52"/>
      <c r="P660" s="52"/>
    </row>
    <row r="661" spans="1:16" ht="13.5" customHeight="1">
      <c r="A661" s="20"/>
      <c r="B661" s="128"/>
      <c r="C661" s="113"/>
      <c r="D661" s="129"/>
      <c r="E661" s="129"/>
      <c r="F661" s="129"/>
      <c r="G661" s="59"/>
      <c r="H661" s="129"/>
      <c r="I661" s="129"/>
      <c r="J661" s="52"/>
      <c r="K661" s="52"/>
      <c r="L661" s="52"/>
      <c r="M661" s="125"/>
      <c r="N661" s="52"/>
      <c r="O661" s="52"/>
      <c r="P661" s="52"/>
    </row>
    <row r="662" spans="1:16" ht="12.75" customHeight="1">
      <c r="A662" s="20"/>
      <c r="B662" s="128"/>
      <c r="C662" s="113"/>
      <c r="D662" s="129"/>
      <c r="E662" s="129"/>
      <c r="F662" s="129"/>
      <c r="G662" s="59"/>
      <c r="H662" s="129"/>
      <c r="I662" s="129"/>
      <c r="J662" s="52"/>
      <c r="K662" s="52"/>
      <c r="L662" s="52"/>
      <c r="M662" s="125"/>
      <c r="N662" s="52"/>
      <c r="O662" s="52"/>
      <c r="P662" s="52"/>
    </row>
    <row r="663" spans="1:16" ht="12.75" customHeight="1">
      <c r="A663" s="20"/>
      <c r="B663" s="128"/>
      <c r="C663" s="113"/>
      <c r="D663" s="129"/>
      <c r="E663" s="129"/>
      <c r="F663" s="129"/>
      <c r="G663" s="59"/>
      <c r="H663" s="129"/>
      <c r="I663" s="129"/>
      <c r="J663" s="52"/>
      <c r="K663" s="52"/>
      <c r="L663" s="52"/>
      <c r="M663" s="125"/>
      <c r="N663" s="52"/>
      <c r="O663" s="52"/>
      <c r="P663" s="52"/>
    </row>
    <row r="664" spans="1:16" ht="12.75" customHeight="1">
      <c r="A664" s="20"/>
      <c r="B664" s="128"/>
      <c r="C664" s="113"/>
      <c r="D664" s="129"/>
      <c r="E664" s="129"/>
      <c r="F664" s="129"/>
      <c r="G664" s="59"/>
      <c r="H664" s="129"/>
      <c r="I664" s="129"/>
      <c r="J664" s="52"/>
      <c r="K664" s="52"/>
      <c r="L664" s="52"/>
      <c r="M664" s="125"/>
      <c r="N664" s="52"/>
      <c r="O664" s="52"/>
      <c r="P664" s="52"/>
    </row>
    <row r="665" spans="1:16" ht="12.75" customHeight="1">
      <c r="A665" s="20"/>
      <c r="B665" s="128"/>
      <c r="C665" s="113"/>
      <c r="D665" s="129"/>
      <c r="E665" s="129"/>
      <c r="F665" s="129"/>
      <c r="G665" s="59"/>
      <c r="H665" s="129"/>
      <c r="I665" s="129"/>
      <c r="J665" s="52"/>
      <c r="K665" s="52"/>
      <c r="L665" s="52"/>
      <c r="M665" s="125"/>
      <c r="N665" s="52"/>
      <c r="O665" s="52"/>
      <c r="P665" s="52"/>
    </row>
    <row r="666" spans="1:16" ht="12.75" customHeight="1">
      <c r="A666" s="20"/>
      <c r="B666" s="128"/>
      <c r="C666" s="113"/>
      <c r="D666" s="129"/>
      <c r="E666" s="129"/>
      <c r="F666" s="129"/>
      <c r="G666" s="59"/>
      <c r="H666" s="129"/>
      <c r="I666" s="134" t="s">
        <v>274</v>
      </c>
      <c r="J666" s="52"/>
      <c r="K666" s="52"/>
      <c r="L666" s="52"/>
      <c r="M666" s="125"/>
      <c r="N666" s="52"/>
      <c r="O666" s="52"/>
      <c r="P666" s="52"/>
    </row>
    <row r="667" spans="1:16" ht="12.75" customHeight="1">
      <c r="A667" s="20"/>
      <c r="B667" s="128"/>
      <c r="C667" s="113"/>
      <c r="D667" s="129"/>
      <c r="E667" s="129"/>
      <c r="F667" s="129"/>
      <c r="G667" s="59"/>
      <c r="H667" s="129"/>
      <c r="I667" s="21"/>
      <c r="J667" s="52"/>
      <c r="K667" s="52"/>
      <c r="L667" s="52"/>
      <c r="M667" s="125"/>
      <c r="N667" s="52"/>
      <c r="O667" s="52"/>
      <c r="P667" s="52"/>
    </row>
    <row r="668" spans="1:17" ht="12" customHeight="1">
      <c r="A668" s="20"/>
      <c r="D668" s="27">
        <v>0</v>
      </c>
      <c r="E668" s="27">
        <v>1</v>
      </c>
      <c r="F668" s="27">
        <f aca="true" t="shared" si="403" ref="F668:Q668">E668+1</f>
        <v>2</v>
      </c>
      <c r="G668" s="32">
        <f t="shared" si="403"/>
        <v>3</v>
      </c>
      <c r="H668" s="27">
        <f t="shared" si="403"/>
        <v>4</v>
      </c>
      <c r="I668" s="27">
        <f t="shared" si="403"/>
        <v>5</v>
      </c>
      <c r="J668" s="27">
        <f t="shared" si="403"/>
        <v>6</v>
      </c>
      <c r="K668" s="27">
        <f t="shared" si="403"/>
        <v>7</v>
      </c>
      <c r="L668" s="27">
        <f t="shared" si="403"/>
        <v>8</v>
      </c>
      <c r="M668" s="32">
        <f t="shared" si="403"/>
        <v>9</v>
      </c>
      <c r="N668" s="27">
        <f t="shared" si="403"/>
        <v>10</v>
      </c>
      <c r="O668" s="27">
        <f t="shared" si="403"/>
        <v>11</v>
      </c>
      <c r="P668" s="27">
        <f t="shared" si="403"/>
        <v>12</v>
      </c>
      <c r="Q668" s="27">
        <f t="shared" si="403"/>
        <v>13</v>
      </c>
    </row>
    <row r="669" spans="1:16" ht="12.75" customHeight="1">
      <c r="A669" s="20"/>
      <c r="B669" s="128"/>
      <c r="C669" s="113" t="s">
        <v>279</v>
      </c>
      <c r="D669" s="67">
        <f aca="true" t="shared" si="404" ref="D669:P669">D137</f>
        <v>1890.9674511081007</v>
      </c>
      <c r="E669" s="67">
        <f t="shared" si="404"/>
        <v>1951.15452170783</v>
      </c>
      <c r="F669" s="67">
        <f t="shared" si="404"/>
        <v>2286.7584286615347</v>
      </c>
      <c r="G669" s="118">
        <f t="shared" si="404"/>
        <v>2350.3666872410736</v>
      </c>
      <c r="H669" s="67">
        <f t="shared" si="404"/>
        <v>2420.6696890927697</v>
      </c>
      <c r="I669" s="67">
        <f t="shared" si="404"/>
        <v>2493.05606111112</v>
      </c>
      <c r="J669" s="67">
        <f t="shared" si="404"/>
        <v>2567.8477429444542</v>
      </c>
      <c r="K669" s="67">
        <f t="shared" si="404"/>
        <v>2644.8831752327887</v>
      </c>
      <c r="L669" s="67">
        <f t="shared" si="404"/>
        <v>2724.229670489774</v>
      </c>
      <c r="M669" s="67">
        <f t="shared" si="404"/>
        <v>2805.9565606044685</v>
      </c>
      <c r="N669" s="67">
        <f t="shared" si="404"/>
        <v>2890.135257422604</v>
      </c>
      <c r="O669" s="67">
        <f t="shared" si="404"/>
        <v>2976.839315145283</v>
      </c>
      <c r="P669" s="67">
        <f t="shared" si="404"/>
        <v>3066.144494599642</v>
      </c>
    </row>
    <row r="670" spans="1:16" ht="12.75" customHeight="1">
      <c r="A670" s="20"/>
      <c r="B670" s="128"/>
      <c r="C670" s="113" t="s">
        <v>278</v>
      </c>
      <c r="D670" s="67">
        <f aca="true" t="shared" si="405" ref="D670:P670">D153</f>
        <v>1343.6281251161724</v>
      </c>
      <c r="E670" s="67">
        <f t="shared" si="405"/>
        <v>1417.554656376628</v>
      </c>
      <c r="F670" s="67">
        <f t="shared" si="405"/>
        <v>1668.1345754505246</v>
      </c>
      <c r="G670" s="118">
        <f t="shared" si="405"/>
        <v>1745.3666872410724</v>
      </c>
      <c r="H670" s="67">
        <f t="shared" si="405"/>
        <v>1797.5196890927689</v>
      </c>
      <c r="I670" s="67">
        <f t="shared" si="405"/>
        <v>1851.2115611111187</v>
      </c>
      <c r="J670" s="67">
        <f t="shared" si="405"/>
        <v>1906.747907944453</v>
      </c>
      <c r="K670" s="67">
        <f t="shared" si="405"/>
        <v>1963.9503451827873</v>
      </c>
      <c r="L670" s="67">
        <f t="shared" si="405"/>
        <v>2022.8688555382728</v>
      </c>
      <c r="M670" s="67">
        <f t="shared" si="405"/>
        <v>2083.5549212044216</v>
      </c>
      <c r="N670" s="67">
        <f t="shared" si="405"/>
        <v>2146.061568840556</v>
      </c>
      <c r="O670" s="67">
        <f t="shared" si="405"/>
        <v>2210.443415905773</v>
      </c>
      <c r="P670" s="67">
        <f t="shared" si="405"/>
        <v>2276.756718382946</v>
      </c>
    </row>
    <row r="671" spans="1:16" ht="12.75" customHeight="1">
      <c r="A671" s="20"/>
      <c r="B671" s="128"/>
      <c r="C671" s="113" t="s">
        <v>285</v>
      </c>
      <c r="D671" s="67">
        <f aca="true" t="shared" si="406" ref="D671:P671">D323</f>
        <v>1226.271654077044</v>
      </c>
      <c r="E671" s="67">
        <f t="shared" si="406"/>
        <v>1296.6361029439781</v>
      </c>
      <c r="F671" s="67">
        <f t="shared" si="406"/>
        <v>1543.333352208936</v>
      </c>
      <c r="G671" s="118">
        <f t="shared" si="406"/>
        <v>1617.0333539077405</v>
      </c>
      <c r="H671" s="67">
        <f t="shared" si="406"/>
        <v>1665.3363557594369</v>
      </c>
      <c r="I671" s="67">
        <f t="shared" si="406"/>
        <v>1715.0627277777864</v>
      </c>
      <c r="J671" s="67">
        <f t="shared" si="406"/>
        <v>1766.514609611121</v>
      </c>
      <c r="K671" s="67">
        <f t="shared" si="406"/>
        <v>1819.5100478994552</v>
      </c>
      <c r="L671" s="67">
        <f t="shared" si="406"/>
        <v>1874.0953493364393</v>
      </c>
      <c r="M671" s="67">
        <f t="shared" si="406"/>
        <v>1930.3182098165335</v>
      </c>
      <c r="N671" s="67">
        <f t="shared" si="406"/>
        <v>1988.2277561110304</v>
      </c>
      <c r="O671" s="67">
        <f t="shared" si="406"/>
        <v>2047.8745887943621</v>
      </c>
      <c r="P671" s="67">
        <f t="shared" si="406"/>
        <v>2109.310826458193</v>
      </c>
    </row>
    <row r="672" spans="1:16" ht="12.75" customHeight="1">
      <c r="A672" s="20"/>
      <c r="B672" s="128"/>
      <c r="C672" s="113" t="s">
        <v>286</v>
      </c>
      <c r="D672" s="67">
        <f aca="true" t="shared" si="407" ref="D672:P672">D395</f>
        <v>1025.0891322956772</v>
      </c>
      <c r="E672" s="67">
        <f t="shared" si="407"/>
        <v>1089.347154202288</v>
      </c>
      <c r="F672" s="67">
        <f t="shared" si="407"/>
        <v>1329.388398080494</v>
      </c>
      <c r="G672" s="118">
        <f t="shared" si="407"/>
        <v>1397.0333539077387</v>
      </c>
      <c r="H672" s="67">
        <f t="shared" si="407"/>
        <v>1438.7363557594354</v>
      </c>
      <c r="I672" s="67">
        <f t="shared" si="407"/>
        <v>1481.664727777785</v>
      </c>
      <c r="J672" s="67">
        <f t="shared" si="407"/>
        <v>1526.1146696111193</v>
      </c>
      <c r="K672" s="67">
        <f t="shared" si="407"/>
        <v>1571.8981096994535</v>
      </c>
      <c r="L672" s="67">
        <f t="shared" si="407"/>
        <v>1619.0550529904374</v>
      </c>
      <c r="M672" s="67">
        <f t="shared" si="407"/>
        <v>1667.6267045801517</v>
      </c>
      <c r="N672" s="67">
        <f t="shared" si="407"/>
        <v>1717.6555057175572</v>
      </c>
      <c r="O672" s="67">
        <f t="shared" si="407"/>
        <v>1769.185170889085</v>
      </c>
      <c r="P672" s="67">
        <f t="shared" si="407"/>
        <v>1822.2607260157577</v>
      </c>
    </row>
    <row r="673" spans="1:16" ht="12.75" customHeight="1">
      <c r="A673" s="20"/>
      <c r="B673" s="128"/>
      <c r="C673" s="113" t="s">
        <v>287</v>
      </c>
      <c r="D673" s="67">
        <f aca="true" t="shared" si="408" ref="D673:P673">D465</f>
        <v>1192.7412337801493</v>
      </c>
      <c r="E673" s="67">
        <f t="shared" si="408"/>
        <v>1262.087944820363</v>
      </c>
      <c r="F673" s="67">
        <f t="shared" si="408"/>
        <v>1507.6758598541953</v>
      </c>
      <c r="G673" s="118">
        <f t="shared" si="408"/>
        <v>1580.3666872410731</v>
      </c>
      <c r="H673" s="67">
        <f t="shared" si="408"/>
        <v>1627.5696890927697</v>
      </c>
      <c r="I673" s="67">
        <f t="shared" si="408"/>
        <v>1676.16306111112</v>
      </c>
      <c r="J673" s="67">
        <f t="shared" si="408"/>
        <v>1726.4479529444543</v>
      </c>
      <c r="K673" s="67">
        <f t="shared" si="408"/>
        <v>1778.2413915327886</v>
      </c>
      <c r="L673" s="67">
        <f t="shared" si="408"/>
        <v>1831.5886332787725</v>
      </c>
      <c r="M673" s="67">
        <f t="shared" si="408"/>
        <v>1886.5362922771371</v>
      </c>
      <c r="N673" s="67">
        <f t="shared" si="408"/>
        <v>1943.132381045452</v>
      </c>
      <c r="O673" s="67">
        <f t="shared" si="408"/>
        <v>2001.4263524768166</v>
      </c>
      <c r="P673" s="67">
        <f t="shared" si="408"/>
        <v>2061.469143051121</v>
      </c>
    </row>
    <row r="674" spans="1:17" s="78" customFormat="1" ht="12.75" customHeight="1" thickBot="1">
      <c r="A674" s="77"/>
      <c r="B674" s="185"/>
      <c r="C674" s="126" t="s">
        <v>288</v>
      </c>
      <c r="D674" s="93">
        <f aca="true" t="shared" si="409" ref="D674:P674">D549</f>
        <v>1494.741707709187</v>
      </c>
      <c r="E674" s="93">
        <f t="shared" si="409"/>
        <v>1573.1552337049811</v>
      </c>
      <c r="F674" s="93">
        <f t="shared" si="409"/>
        <v>1828.079183378515</v>
      </c>
      <c r="G674" s="116">
        <f t="shared" si="409"/>
        <v>1910.3666872410718</v>
      </c>
      <c r="H674" s="93">
        <f t="shared" si="409"/>
        <v>1967.469689092768</v>
      </c>
      <c r="I674" s="93">
        <f t="shared" si="409"/>
        <v>2026.260061111118</v>
      </c>
      <c r="J674" s="93">
        <f t="shared" si="409"/>
        <v>2087.047862944453</v>
      </c>
      <c r="K674" s="93">
        <f t="shared" si="409"/>
        <v>2149.659298832787</v>
      </c>
      <c r="L674" s="93">
        <f t="shared" si="409"/>
        <v>2214.149077797771</v>
      </c>
      <c r="M674" s="93">
        <f t="shared" si="409"/>
        <v>2280.573550131706</v>
      </c>
      <c r="N674" s="93">
        <f t="shared" si="409"/>
        <v>2348.9907566356583</v>
      </c>
      <c r="O674" s="93">
        <f t="shared" si="409"/>
        <v>2419.460479334729</v>
      </c>
      <c r="P674" s="93">
        <f t="shared" si="409"/>
        <v>2492.0442937147714</v>
      </c>
      <c r="Q674" s="126"/>
    </row>
    <row r="675" spans="1:16" ht="12.75" customHeight="1">
      <c r="A675" s="20"/>
      <c r="B675" s="128"/>
      <c r="C675" s="113" t="s">
        <v>281</v>
      </c>
      <c r="D675" s="67">
        <f aca="true" t="shared" si="410" ref="D675:P675">D151</f>
        <v>452.6606740080724</v>
      </c>
      <c r="E675" s="67">
        <f t="shared" si="410"/>
        <v>466.4001346687989</v>
      </c>
      <c r="F675" s="67">
        <f t="shared" si="410"/>
        <v>481.376146788991</v>
      </c>
      <c r="G675" s="118">
        <f t="shared" si="410"/>
        <v>495.00000000000017</v>
      </c>
      <c r="H675" s="67">
        <f t="shared" si="410"/>
        <v>509.8500000000002</v>
      </c>
      <c r="I675" s="67">
        <f t="shared" si="410"/>
        <v>525.1455000000002</v>
      </c>
      <c r="J675" s="67">
        <f t="shared" si="410"/>
        <v>540.8998650000003</v>
      </c>
      <c r="K675" s="67">
        <f t="shared" si="410"/>
        <v>557.1268609500003</v>
      </c>
      <c r="L675" s="67">
        <f t="shared" si="410"/>
        <v>573.8406667785005</v>
      </c>
      <c r="M675" s="67">
        <f t="shared" si="410"/>
        <v>591.0558867818555</v>
      </c>
      <c r="N675" s="67">
        <f t="shared" si="410"/>
        <v>608.7875633853113</v>
      </c>
      <c r="O675" s="67">
        <f t="shared" si="410"/>
        <v>627.0511902868706</v>
      </c>
      <c r="P675" s="67">
        <f t="shared" si="410"/>
        <v>645.8627259954767</v>
      </c>
    </row>
    <row r="676" spans="1:16" ht="12.75" customHeight="1">
      <c r="A676" s="20"/>
      <c r="B676" s="128"/>
      <c r="C676" s="113" t="s">
        <v>289</v>
      </c>
      <c r="D676" s="67">
        <f>D312-D313</f>
        <v>335.30420296894295</v>
      </c>
      <c r="E676" s="67">
        <f aca="true" t="shared" si="411" ref="E676:P676">E312-E313</f>
        <v>345.481581236148</v>
      </c>
      <c r="F676" s="67">
        <f t="shared" si="411"/>
        <v>356.5749235474015</v>
      </c>
      <c r="G676" s="118">
        <f t="shared" si="411"/>
        <v>366.6666666666676</v>
      </c>
      <c r="H676" s="67">
        <f t="shared" si="411"/>
        <v>377.66666666666725</v>
      </c>
      <c r="I676" s="67">
        <f t="shared" si="411"/>
        <v>388.9966666666668</v>
      </c>
      <c r="J676" s="67">
        <f t="shared" si="411"/>
        <v>400.6665666666672</v>
      </c>
      <c r="K676" s="67">
        <f t="shared" si="411"/>
        <v>412.6865636666671</v>
      </c>
      <c r="L676" s="67">
        <f t="shared" si="411"/>
        <v>425.06716057666745</v>
      </c>
      <c r="M676" s="67">
        <f t="shared" si="411"/>
        <v>437.8191753939674</v>
      </c>
      <c r="N676" s="67">
        <f t="shared" si="411"/>
        <v>450.95375065578617</v>
      </c>
      <c r="O676" s="67">
        <f t="shared" si="411"/>
        <v>464.4823631754599</v>
      </c>
      <c r="P676" s="67">
        <f t="shared" si="411"/>
        <v>478.4168340707231</v>
      </c>
    </row>
    <row r="677" spans="1:16" ht="12.75" customHeight="1">
      <c r="A677" s="20"/>
      <c r="B677" s="128"/>
      <c r="C677" s="113" t="s">
        <v>290</v>
      </c>
      <c r="D677" s="67">
        <f>D384-D385</f>
        <v>134.12168118757722</v>
      </c>
      <c r="E677" s="67">
        <f aca="true" t="shared" si="412" ref="E677:P677">E384-E385</f>
        <v>138.19263249445902</v>
      </c>
      <c r="F677" s="67">
        <f t="shared" si="412"/>
        <v>142.62996941896034</v>
      </c>
      <c r="G677" s="118">
        <f t="shared" si="412"/>
        <v>146.66666666666646</v>
      </c>
      <c r="H677" s="67">
        <f t="shared" si="412"/>
        <v>151.06666666666666</v>
      </c>
      <c r="I677" s="67">
        <f t="shared" si="412"/>
        <v>155.59866666666642</v>
      </c>
      <c r="J677" s="67">
        <f t="shared" si="412"/>
        <v>160.26662666666675</v>
      </c>
      <c r="K677" s="67">
        <f t="shared" si="412"/>
        <v>165.07462546666648</v>
      </c>
      <c r="L677" s="67">
        <f t="shared" si="412"/>
        <v>170.02686423066507</v>
      </c>
      <c r="M677" s="67">
        <f t="shared" si="412"/>
        <v>175.1276701575856</v>
      </c>
      <c r="N677" s="67">
        <f t="shared" si="412"/>
        <v>180.38150026231244</v>
      </c>
      <c r="O677" s="67">
        <f t="shared" si="412"/>
        <v>185.7929452701827</v>
      </c>
      <c r="P677" s="67">
        <f t="shared" si="412"/>
        <v>191.36673362828833</v>
      </c>
    </row>
    <row r="678" spans="1:16" ht="12.75" customHeight="1">
      <c r="A678" s="20"/>
      <c r="B678" s="128"/>
      <c r="C678" s="113" t="s">
        <v>291</v>
      </c>
      <c r="D678" s="67">
        <f>D454-D455</f>
        <v>301.7737826720481</v>
      </c>
      <c r="E678" s="67">
        <f aca="true" t="shared" si="413" ref="E678:P678">E454-E455</f>
        <v>310.9334231125328</v>
      </c>
      <c r="F678" s="67">
        <f t="shared" si="413"/>
        <v>320.9174311926608</v>
      </c>
      <c r="G678" s="118">
        <f t="shared" si="413"/>
        <v>330.00000000000017</v>
      </c>
      <c r="H678" s="67">
        <f t="shared" si="413"/>
        <v>339.90000000000015</v>
      </c>
      <c r="I678" s="67">
        <f t="shared" si="413"/>
        <v>350.0970000000003</v>
      </c>
      <c r="J678" s="67">
        <f t="shared" si="413"/>
        <v>360.5999100000006</v>
      </c>
      <c r="K678" s="67">
        <f t="shared" si="413"/>
        <v>371.4179073000005</v>
      </c>
      <c r="L678" s="67">
        <f t="shared" si="413"/>
        <v>382.5604445190006</v>
      </c>
      <c r="M678" s="67">
        <f t="shared" si="413"/>
        <v>394.03725785457107</v>
      </c>
      <c r="N678" s="67">
        <f t="shared" si="413"/>
        <v>405.85837559020763</v>
      </c>
      <c r="O678" s="67">
        <f t="shared" si="413"/>
        <v>418.03412685791443</v>
      </c>
      <c r="P678" s="67">
        <f t="shared" si="413"/>
        <v>430.57515066365136</v>
      </c>
    </row>
    <row r="679" spans="1:17" s="78" customFormat="1" ht="12.75" customHeight="1" thickBot="1">
      <c r="A679" s="77"/>
      <c r="B679" s="185"/>
      <c r="C679" s="126" t="s">
        <v>292</v>
      </c>
      <c r="D679" s="93">
        <f aca="true" t="shared" si="414" ref="D679:P679">D539</f>
        <v>603.7742566010867</v>
      </c>
      <c r="E679" s="93">
        <f t="shared" si="414"/>
        <v>622.0007119971519</v>
      </c>
      <c r="F679" s="93">
        <f t="shared" si="414"/>
        <v>641.320754716981</v>
      </c>
      <c r="G679" s="116">
        <f t="shared" si="414"/>
        <v>659.9999999999999</v>
      </c>
      <c r="H679" s="93">
        <f t="shared" si="414"/>
        <v>679.8</v>
      </c>
      <c r="I679" s="93">
        <f t="shared" si="414"/>
        <v>700.1940000000001</v>
      </c>
      <c r="J679" s="93">
        <f t="shared" si="414"/>
        <v>721.19982</v>
      </c>
      <c r="K679" s="93">
        <f t="shared" si="414"/>
        <v>742.8358146</v>
      </c>
      <c r="L679" s="93">
        <f t="shared" si="414"/>
        <v>765.1208890380001</v>
      </c>
      <c r="M679" s="93">
        <f t="shared" si="414"/>
        <v>788.0745157091402</v>
      </c>
      <c r="N679" s="93">
        <f t="shared" si="414"/>
        <v>811.7167511804143</v>
      </c>
      <c r="O679" s="93">
        <f t="shared" si="414"/>
        <v>836.0682537158269</v>
      </c>
      <c r="P679" s="93">
        <f t="shared" si="414"/>
        <v>861.1503013273017</v>
      </c>
      <c r="Q679" s="126"/>
    </row>
    <row r="680" spans="1:16" ht="12.75" customHeight="1">
      <c r="A680" s="20"/>
      <c r="B680" s="128"/>
      <c r="C680" s="113" t="s">
        <v>293</v>
      </c>
      <c r="D680" s="129">
        <f>(D$670-D671)/D$670</f>
        <v>0.08734297001187102</v>
      </c>
      <c r="E680" s="129">
        <f aca="true" t="shared" si="415" ref="E680:P683">(E$670-E671)/E$670</f>
        <v>0.08530080507916805</v>
      </c>
      <c r="F680" s="129">
        <f t="shared" si="415"/>
        <v>0.07481484112748076</v>
      </c>
      <c r="G680" s="59">
        <f t="shared" si="415"/>
        <v>0.07352800661973807</v>
      </c>
      <c r="H680" s="129">
        <f t="shared" si="415"/>
        <v>0.07353651486290347</v>
      </c>
      <c r="I680" s="129">
        <f t="shared" si="415"/>
        <v>0.07354579897481527</v>
      </c>
      <c r="J680" s="129">
        <f t="shared" si="415"/>
        <v>0.07354579897481509</v>
      </c>
      <c r="K680" s="129">
        <f t="shared" si="415"/>
        <v>0.07354579897481511</v>
      </c>
      <c r="L680" s="129">
        <f t="shared" si="415"/>
        <v>0.07354579897481578</v>
      </c>
      <c r="M680" s="129">
        <f t="shared" si="415"/>
        <v>0.0735457989748156</v>
      </c>
      <c r="N680" s="129">
        <f t="shared" si="415"/>
        <v>0.0735457989748159</v>
      </c>
      <c r="O680" s="129">
        <f t="shared" si="415"/>
        <v>0.07354579897481558</v>
      </c>
      <c r="P680" s="129">
        <f t="shared" si="415"/>
        <v>0.07354579897481567</v>
      </c>
    </row>
    <row r="681" spans="1:16" ht="12.75" customHeight="1">
      <c r="A681" s="20"/>
      <c r="B681" s="128"/>
      <c r="C681" s="113" t="s">
        <v>294</v>
      </c>
      <c r="D681" s="129">
        <f>(D$670-D672)/D$670</f>
        <v>0.23707377574651003</v>
      </c>
      <c r="E681" s="129">
        <f t="shared" si="415"/>
        <v>0.23153075664345948</v>
      </c>
      <c r="F681" s="129">
        <f t="shared" si="415"/>
        <v>0.20306885448887907</v>
      </c>
      <c r="G681" s="59">
        <f t="shared" si="415"/>
        <v>0.19957601796786295</v>
      </c>
      <c r="H681" s="129">
        <f t="shared" si="415"/>
        <v>0.19959911177074008</v>
      </c>
      <c r="I681" s="129">
        <f t="shared" si="415"/>
        <v>0.19962431150307178</v>
      </c>
      <c r="J681" s="129">
        <f t="shared" si="415"/>
        <v>0.1996243115030716</v>
      </c>
      <c r="K681" s="129">
        <f t="shared" si="415"/>
        <v>0.19962431150307164</v>
      </c>
      <c r="L681" s="129">
        <f t="shared" si="415"/>
        <v>0.19962431150307222</v>
      </c>
      <c r="M681" s="129">
        <f t="shared" si="415"/>
        <v>0.19962431150307192</v>
      </c>
      <c r="N681" s="129">
        <f t="shared" si="415"/>
        <v>0.19962431150307214</v>
      </c>
      <c r="O681" s="129">
        <f t="shared" si="415"/>
        <v>0.1996243115030717</v>
      </c>
      <c r="P681" s="129">
        <f t="shared" si="415"/>
        <v>0.19962431150307164</v>
      </c>
    </row>
    <row r="682" spans="1:16" ht="12.75" customHeight="1">
      <c r="A682" s="20"/>
      <c r="B682" s="128"/>
      <c r="C682" s="113" t="s">
        <v>295</v>
      </c>
      <c r="D682" s="129">
        <f>(D$670-D673)/D$670</f>
        <v>0.11229810430097778</v>
      </c>
      <c r="E682" s="129">
        <f t="shared" si="415"/>
        <v>0.10967246367321673</v>
      </c>
      <c r="F682" s="129">
        <f t="shared" si="415"/>
        <v>0.09619051002104737</v>
      </c>
      <c r="G682" s="59">
        <f t="shared" si="415"/>
        <v>0.09453600851109248</v>
      </c>
      <c r="H682" s="129">
        <f t="shared" si="415"/>
        <v>0.09454694768087635</v>
      </c>
      <c r="I682" s="129">
        <f t="shared" si="415"/>
        <v>0.0945588843961911</v>
      </c>
      <c r="J682" s="129">
        <f t="shared" si="415"/>
        <v>0.09455888439619102</v>
      </c>
      <c r="K682" s="129">
        <f t="shared" si="415"/>
        <v>0.09455888439619103</v>
      </c>
      <c r="L682" s="129">
        <f t="shared" si="415"/>
        <v>0.09455888439619178</v>
      </c>
      <c r="M682" s="129">
        <f t="shared" si="415"/>
        <v>0.09455888439619134</v>
      </c>
      <c r="N682" s="129">
        <f t="shared" si="415"/>
        <v>0.09455888439619178</v>
      </c>
      <c r="O682" s="129">
        <f t="shared" si="415"/>
        <v>0.09455888439619128</v>
      </c>
      <c r="P682" s="129">
        <f t="shared" si="415"/>
        <v>0.09455888439619131</v>
      </c>
    </row>
    <row r="683" spans="1:17" s="78" customFormat="1" ht="12.75" customHeight="1" thickBot="1">
      <c r="A683" s="77"/>
      <c r="B683" s="185"/>
      <c r="C683" s="126" t="s">
        <v>296</v>
      </c>
      <c r="D683" s="107">
        <f>(D$670-D674)/D$670</f>
        <v>-0.1124668200734106</v>
      </c>
      <c r="E683" s="107">
        <f t="shared" si="415"/>
        <v>-0.10976689796644563</v>
      </c>
      <c r="F683" s="107">
        <f t="shared" si="415"/>
        <v>-0.09588231685971317</v>
      </c>
      <c r="G683" s="123">
        <f t="shared" si="415"/>
        <v>-0.09453600851109248</v>
      </c>
      <c r="H683" s="107">
        <f t="shared" si="415"/>
        <v>-0.09454694768087635</v>
      </c>
      <c r="I683" s="107">
        <f t="shared" si="415"/>
        <v>-0.09455888439619135</v>
      </c>
      <c r="J683" s="107">
        <f t="shared" si="415"/>
        <v>-0.09455888439619173</v>
      </c>
      <c r="K683" s="107">
        <f t="shared" si="415"/>
        <v>-0.0945588843961916</v>
      </c>
      <c r="L683" s="107">
        <f t="shared" si="415"/>
        <v>-0.09455888439619077</v>
      </c>
      <c r="M683" s="107">
        <f t="shared" si="415"/>
        <v>-0.09455888439619123</v>
      </c>
      <c r="N683" s="107">
        <f t="shared" si="415"/>
        <v>-0.09455888439619094</v>
      </c>
      <c r="O683" s="107">
        <f t="shared" si="415"/>
        <v>-0.09455888439619128</v>
      </c>
      <c r="P683" s="107">
        <f t="shared" si="415"/>
        <v>-0.0945588843961915</v>
      </c>
      <c r="Q683" s="126"/>
    </row>
    <row r="684" spans="1:16" ht="12.75" customHeight="1">
      <c r="A684" s="20"/>
      <c r="B684" s="128"/>
      <c r="C684" s="113"/>
      <c r="D684" s="129"/>
      <c r="E684" s="129"/>
      <c r="F684" s="129"/>
      <c r="G684" s="59"/>
      <c r="H684" s="129"/>
      <c r="I684" s="129"/>
      <c r="J684" s="52"/>
      <c r="K684" s="52"/>
      <c r="L684" s="52"/>
      <c r="M684" s="125"/>
      <c r="N684" s="52"/>
      <c r="O684" s="52"/>
      <c r="P684" s="52"/>
    </row>
    <row r="685" spans="1:16" ht="12.75" customHeight="1">
      <c r="A685" s="20"/>
      <c r="B685" s="128"/>
      <c r="C685" s="113"/>
      <c r="D685" s="129"/>
      <c r="E685" s="129"/>
      <c r="F685" s="129"/>
      <c r="G685" s="59"/>
      <c r="H685" s="129"/>
      <c r="I685" s="129"/>
      <c r="J685" s="52"/>
      <c r="K685" s="52"/>
      <c r="L685" s="52"/>
      <c r="M685" s="125"/>
      <c r="N685" s="52"/>
      <c r="O685" s="52"/>
      <c r="P685" s="52"/>
    </row>
    <row r="686" spans="1:16" ht="12.75" customHeight="1">
      <c r="A686" s="20"/>
      <c r="B686" s="128"/>
      <c r="C686" s="113"/>
      <c r="D686" s="129"/>
      <c r="E686" s="129"/>
      <c r="F686" s="129"/>
      <c r="G686" s="59"/>
      <c r="H686" s="129"/>
      <c r="I686" s="129"/>
      <c r="J686" s="52"/>
      <c r="K686" s="52"/>
      <c r="L686" s="52"/>
      <c r="M686" s="125"/>
      <c r="N686" s="52"/>
      <c r="O686" s="52"/>
      <c r="P686" s="52"/>
    </row>
    <row r="687" spans="1:16" ht="12.75" customHeight="1">
      <c r="A687" s="20"/>
      <c r="B687" s="128"/>
      <c r="C687" s="113"/>
      <c r="D687" s="129"/>
      <c r="E687" s="129"/>
      <c r="F687" s="129"/>
      <c r="G687" s="59"/>
      <c r="H687" s="129"/>
      <c r="I687" s="129"/>
      <c r="J687" s="52"/>
      <c r="K687" s="52"/>
      <c r="L687" s="52"/>
      <c r="M687" s="125"/>
      <c r="N687" s="52"/>
      <c r="O687" s="52"/>
      <c r="P687" s="52"/>
    </row>
    <row r="688" spans="1:16" ht="12.75" customHeight="1">
      <c r="A688" s="20"/>
      <c r="B688" s="128"/>
      <c r="C688" s="113"/>
      <c r="D688" s="129"/>
      <c r="E688" s="129"/>
      <c r="F688" s="129"/>
      <c r="G688" s="59"/>
      <c r="H688" s="129"/>
      <c r="I688" s="129"/>
      <c r="J688" s="52"/>
      <c r="K688" s="52"/>
      <c r="L688" s="52"/>
      <c r="M688" s="125"/>
      <c r="N688" s="52"/>
      <c r="O688" s="52"/>
      <c r="P688" s="52"/>
    </row>
    <row r="689" spans="1:16" ht="12.75" customHeight="1">
      <c r="A689" s="20"/>
      <c r="B689" s="128"/>
      <c r="C689" s="113"/>
      <c r="D689" s="129"/>
      <c r="E689" s="129"/>
      <c r="F689" s="129"/>
      <c r="G689" s="59"/>
      <c r="H689" s="129"/>
      <c r="I689" s="129"/>
      <c r="J689" s="52"/>
      <c r="K689" s="52"/>
      <c r="L689" s="52"/>
      <c r="M689" s="125"/>
      <c r="N689" s="52"/>
      <c r="O689" s="52"/>
      <c r="P689" s="52"/>
    </row>
    <row r="690" spans="1:16" ht="12.75" customHeight="1">
      <c r="A690" s="20"/>
      <c r="B690" s="128"/>
      <c r="C690" s="113"/>
      <c r="D690" s="129"/>
      <c r="E690" s="129"/>
      <c r="F690" s="129"/>
      <c r="G690" s="59"/>
      <c r="H690" s="129"/>
      <c r="I690" s="129"/>
      <c r="J690" s="52"/>
      <c r="K690" s="52"/>
      <c r="L690" s="52"/>
      <c r="M690" s="125"/>
      <c r="N690" s="52"/>
      <c r="O690" s="52"/>
      <c r="P690" s="52"/>
    </row>
    <row r="691" spans="1:16" ht="12.75" customHeight="1">
      <c r="A691" s="20"/>
      <c r="B691" s="128"/>
      <c r="C691" s="113"/>
      <c r="D691" s="129"/>
      <c r="E691" s="129"/>
      <c r="F691" s="129"/>
      <c r="G691" s="59"/>
      <c r="H691" s="129"/>
      <c r="I691" s="129"/>
      <c r="J691" s="52"/>
      <c r="K691" s="52"/>
      <c r="L691" s="52"/>
      <c r="M691" s="125"/>
      <c r="N691" s="52"/>
      <c r="O691" s="52"/>
      <c r="P691" s="52"/>
    </row>
    <row r="692" spans="1:16" ht="12.75" customHeight="1">
      <c r="A692" s="20"/>
      <c r="B692" s="128"/>
      <c r="C692" s="113"/>
      <c r="D692" s="129"/>
      <c r="E692" s="129"/>
      <c r="F692" s="129"/>
      <c r="G692" s="59"/>
      <c r="H692" s="129"/>
      <c r="I692" s="129"/>
      <c r="J692" s="52"/>
      <c r="K692" s="52"/>
      <c r="L692" s="52"/>
      <c r="M692" s="125"/>
      <c r="N692" s="52"/>
      <c r="O692" s="52"/>
      <c r="P692" s="52"/>
    </row>
    <row r="693" spans="1:16" ht="12.75" customHeight="1">
      <c r="A693" s="20"/>
      <c r="B693" s="128"/>
      <c r="C693" s="113"/>
      <c r="D693" s="129"/>
      <c r="E693" s="129"/>
      <c r="F693" s="129"/>
      <c r="G693" s="59"/>
      <c r="H693" s="129"/>
      <c r="I693" s="129"/>
      <c r="J693" s="52"/>
      <c r="K693" s="52"/>
      <c r="L693" s="52"/>
      <c r="M693" s="125"/>
      <c r="N693" s="52"/>
      <c r="O693" s="52"/>
      <c r="P693" s="52"/>
    </row>
    <row r="694" spans="1:16" ht="12.75" customHeight="1">
      <c r="A694" s="20"/>
      <c r="B694" s="128"/>
      <c r="C694" s="113"/>
      <c r="D694" s="129"/>
      <c r="E694" s="129"/>
      <c r="F694" s="129"/>
      <c r="G694" s="59"/>
      <c r="H694" s="129"/>
      <c r="I694" s="129"/>
      <c r="J694" s="52"/>
      <c r="K694" s="52"/>
      <c r="L694" s="52"/>
      <c r="M694" s="125"/>
      <c r="N694" s="52"/>
      <c r="O694" s="52"/>
      <c r="P694" s="52"/>
    </row>
    <row r="695" spans="1:16" ht="12.75" customHeight="1">
      <c r="A695" s="20"/>
      <c r="B695" s="128"/>
      <c r="C695" s="113"/>
      <c r="D695" s="129"/>
      <c r="E695" s="129"/>
      <c r="F695" s="129"/>
      <c r="G695" s="59"/>
      <c r="H695" s="129"/>
      <c r="I695" s="129"/>
      <c r="J695" s="52"/>
      <c r="K695" s="52"/>
      <c r="L695" s="52"/>
      <c r="M695" s="125"/>
      <c r="N695" s="52"/>
      <c r="O695" s="52"/>
      <c r="P695" s="52"/>
    </row>
    <row r="696" spans="1:16" ht="12.75" customHeight="1">
      <c r="A696" s="20"/>
      <c r="B696" s="128"/>
      <c r="C696" s="113"/>
      <c r="D696" s="129"/>
      <c r="E696" s="129"/>
      <c r="F696" s="129"/>
      <c r="G696" s="59"/>
      <c r="H696" s="129"/>
      <c r="I696" s="129"/>
      <c r="J696" s="52"/>
      <c r="K696" s="52"/>
      <c r="L696" s="52"/>
      <c r="M696" s="125"/>
      <c r="N696" s="52"/>
      <c r="O696" s="52"/>
      <c r="P696" s="52"/>
    </row>
    <row r="697" spans="1:16" ht="12.75" customHeight="1">
      <c r="A697" s="20"/>
      <c r="B697" s="128"/>
      <c r="C697" s="113"/>
      <c r="D697" s="129"/>
      <c r="E697" s="129"/>
      <c r="F697" s="129"/>
      <c r="G697" s="59"/>
      <c r="H697" s="129"/>
      <c r="I697" s="129"/>
      <c r="J697" s="52"/>
      <c r="K697" s="52"/>
      <c r="L697" s="52"/>
      <c r="M697" s="125"/>
      <c r="N697" s="52"/>
      <c r="O697" s="52"/>
      <c r="P697" s="52"/>
    </row>
    <row r="698" spans="1:16" ht="12.75" customHeight="1">
      <c r="A698" s="20"/>
      <c r="B698" s="128"/>
      <c r="C698" s="113"/>
      <c r="D698" s="129"/>
      <c r="E698" s="129"/>
      <c r="F698" s="129"/>
      <c r="G698" s="59"/>
      <c r="H698" s="129"/>
      <c r="I698" s="129"/>
      <c r="J698" s="52"/>
      <c r="K698" s="52"/>
      <c r="L698" s="52"/>
      <c r="M698" s="125"/>
      <c r="N698" s="52"/>
      <c r="O698" s="52"/>
      <c r="P698" s="52"/>
    </row>
    <row r="699" spans="1:16" ht="12.75" customHeight="1">
      <c r="A699" s="20"/>
      <c r="B699" s="128"/>
      <c r="C699" s="113"/>
      <c r="D699" s="129"/>
      <c r="E699" s="129"/>
      <c r="F699" s="129"/>
      <c r="G699" s="59"/>
      <c r="H699" s="129"/>
      <c r="I699" s="129"/>
      <c r="J699" s="52"/>
      <c r="K699" s="52"/>
      <c r="L699" s="52"/>
      <c r="M699" s="125"/>
      <c r="N699" s="52"/>
      <c r="O699" s="52"/>
      <c r="P699" s="52"/>
    </row>
    <row r="700" spans="1:16" ht="12.75" customHeight="1">
      <c r="A700" s="20"/>
      <c r="B700" s="128"/>
      <c r="C700" s="113"/>
      <c r="D700" s="129"/>
      <c r="E700" s="129"/>
      <c r="F700" s="129"/>
      <c r="G700" s="59"/>
      <c r="H700" s="129"/>
      <c r="I700" s="129"/>
      <c r="J700" s="52"/>
      <c r="K700" s="52"/>
      <c r="L700" s="52"/>
      <c r="M700" s="125"/>
      <c r="N700" s="52"/>
      <c r="O700" s="52"/>
      <c r="P700" s="52"/>
    </row>
    <row r="701" spans="1:16" ht="12.75" customHeight="1">
      <c r="A701" s="20"/>
      <c r="B701" s="128"/>
      <c r="C701" s="113"/>
      <c r="D701" s="129"/>
      <c r="E701" s="129"/>
      <c r="F701" s="129"/>
      <c r="G701" s="59"/>
      <c r="H701" s="129"/>
      <c r="I701" s="129"/>
      <c r="J701" s="52"/>
      <c r="K701" s="52"/>
      <c r="L701" s="52"/>
      <c r="M701" s="125"/>
      <c r="N701" s="52"/>
      <c r="O701" s="52"/>
      <c r="P701" s="52"/>
    </row>
    <row r="702" spans="1:16" ht="12.75" customHeight="1">
      <c r="A702" s="20"/>
      <c r="B702" s="16"/>
      <c r="C702" s="113"/>
      <c r="D702" s="129"/>
      <c r="E702" s="129"/>
      <c r="F702" s="129"/>
      <c r="G702" s="59"/>
      <c r="H702" s="129"/>
      <c r="I702" s="129"/>
      <c r="J702" s="52"/>
      <c r="K702" s="52"/>
      <c r="L702" s="52"/>
      <c r="M702" s="125"/>
      <c r="N702" s="52"/>
      <c r="O702" s="52"/>
      <c r="P702" s="52"/>
    </row>
    <row r="703" spans="3:23" ht="10.5">
      <c r="C703" s="113"/>
      <c r="D703" s="130"/>
      <c r="E703" s="130"/>
      <c r="F703" s="130"/>
      <c r="G703" s="170"/>
      <c r="H703" s="130"/>
      <c r="I703" s="130"/>
      <c r="S703" s="113"/>
      <c r="T703" s="113"/>
      <c r="U703" s="113"/>
      <c r="V703" s="113"/>
      <c r="W703" s="113"/>
    </row>
  </sheetData>
  <sheetProtection/>
  <printOptions gridLines="1"/>
  <pageMargins left="0.7499999999999608" right="0.39566929133858264" top="1" bottom="1" header="0.5" footer="0.5"/>
  <pageSetup orientation="landscape" paperSize="9" r:id="rId2"/>
  <headerFooter alignWithMargins="0">
    <oddHeader>&amp;CValoración empresa. completo</oddHeader>
    <oddFooter>&amp;L&amp;D&amp;CPágina &amp;P&amp;RPablo Fernández. IESE</oddFooter>
  </headerFooter>
  <rowBreaks count="11" manualBreakCount="11">
    <brk id="44" max="65535" man="1"/>
    <brk id="84" max="65535" man="1"/>
    <brk id="126" max="65535" man="1"/>
    <brk id="190" max="65535" man="1"/>
    <brk id="222" max="65535" man="1"/>
    <brk id="291" max="65535" man="1"/>
    <brk id="362" max="65535" man="1"/>
    <brk id="440" max="65535" man="1"/>
    <brk id="511" max="65535" man="1"/>
    <brk id="544" max="65535" man="1"/>
    <brk id="581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Pablo Fernández</cp:lastModifiedBy>
  <dcterms:created xsi:type="dcterms:W3CDTF">2003-11-25T15:54:51Z</dcterms:created>
  <dcterms:modified xsi:type="dcterms:W3CDTF">2015-05-27T09:59:00Z</dcterms:modified>
  <cp:category/>
  <cp:version/>
  <cp:contentType/>
  <cp:contentStatus/>
</cp:coreProperties>
</file>